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LMICweb2023\tac\spreadsheets\cattle\"/>
    </mc:Choice>
  </mc:AlternateContent>
  <bookViews>
    <workbookView xWindow="28680" yWindow="-120" windowWidth="29040" windowHeight="15720" tabRatio="725" activeTab="4"/>
  </bookViews>
  <sheets>
    <sheet name="Sheet1" sheetId="1" r:id="rId1"/>
    <sheet name="Mnth to Qtr" sheetId="2" r:id="rId2"/>
    <sheet name="Quarterly" sheetId="5" r:id="rId3"/>
    <sheet name="Annual" sheetId="4" r:id="rId4"/>
    <sheet name="tb1111" sheetId="3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4" l="1"/>
  <c r="C35" i="4"/>
  <c r="C33" i="4"/>
  <c r="C29" i="4"/>
  <c r="C27" i="4"/>
  <c r="C25" i="4"/>
  <c r="C23" i="4"/>
  <c r="C21" i="4"/>
  <c r="C19" i="4"/>
  <c r="C17" i="4"/>
  <c r="C15" i="4"/>
  <c r="C13" i="4"/>
  <c r="C119" i="5"/>
  <c r="C117" i="5"/>
  <c r="C113" i="5"/>
  <c r="L111" i="5"/>
  <c r="L109" i="5"/>
  <c r="L107" i="5"/>
  <c r="C105" i="5"/>
  <c r="C103" i="5"/>
  <c r="L101" i="5"/>
  <c r="C99" i="5"/>
  <c r="C97" i="5"/>
  <c r="L95" i="5"/>
  <c r="L93" i="5"/>
  <c r="C91" i="5"/>
  <c r="C87" i="5"/>
  <c r="C85" i="5"/>
  <c r="L83" i="5"/>
  <c r="L81" i="5"/>
  <c r="C77" i="5"/>
  <c r="L73" i="5"/>
  <c r="L71" i="5"/>
  <c r="C69" i="5"/>
  <c r="C67" i="5"/>
  <c r="C65" i="5"/>
  <c r="L63" i="5"/>
  <c r="C61" i="5"/>
  <c r="C59" i="5"/>
  <c r="C57" i="5"/>
  <c r="C55" i="5"/>
  <c r="C53" i="5"/>
  <c r="C51" i="5"/>
  <c r="C49" i="5"/>
  <c r="C47" i="5"/>
  <c r="C45" i="5"/>
  <c r="C43" i="5"/>
  <c r="C41" i="5"/>
  <c r="C39" i="5"/>
  <c r="C37" i="5"/>
  <c r="C35" i="5"/>
  <c r="C31" i="5"/>
  <c r="C29" i="5"/>
  <c r="C27" i="5"/>
  <c r="C25" i="5"/>
  <c r="C23" i="5"/>
  <c r="C21" i="5"/>
  <c r="C19" i="5"/>
  <c r="C17" i="5"/>
  <c r="C15" i="5"/>
  <c r="C13" i="5"/>
  <c r="C11" i="5"/>
  <c r="M130" i="5"/>
  <c r="M126" i="5"/>
  <c r="G19" i="5"/>
  <c r="M129" i="5"/>
  <c r="M128" i="5"/>
  <c r="M125" i="5"/>
  <c r="H15" i="4"/>
  <c r="I19" i="5"/>
  <c r="M42" i="4"/>
  <c r="T130" i="5"/>
  <c r="T129" i="5"/>
  <c r="S130" i="5"/>
  <c r="S129" i="5"/>
  <c r="S128" i="5"/>
  <c r="S127" i="5"/>
  <c r="U123" i="5"/>
  <c r="P127" i="5"/>
  <c r="P128" i="5"/>
  <c r="P129" i="5"/>
  <c r="P130" i="5"/>
  <c r="U114" i="5"/>
  <c r="O126" i="5"/>
  <c r="P126" i="5" s="1"/>
  <c r="O125" i="5"/>
  <c r="P125" i="5" s="1"/>
  <c r="V123" i="5"/>
  <c r="U126" i="5"/>
  <c r="V126" i="5"/>
  <c r="V125" i="5"/>
  <c r="U125" i="5"/>
  <c r="U124" i="5"/>
  <c r="V124" i="5"/>
  <c r="U121" i="5"/>
  <c r="V121" i="5"/>
  <c r="P123" i="5"/>
  <c r="M41" i="4"/>
  <c r="P124" i="5"/>
  <c r="V122" i="5"/>
  <c r="U122" i="5"/>
  <c r="C16" i="4"/>
  <c r="C18" i="4"/>
  <c r="C20" i="4"/>
  <c r="C22" i="4"/>
  <c r="C26" i="4"/>
  <c r="P122" i="5"/>
  <c r="M40" i="4"/>
  <c r="M39" i="4"/>
  <c r="P117" i="5"/>
  <c r="P118" i="5"/>
  <c r="P87" i="5"/>
  <c r="M37" i="4"/>
  <c r="M38" i="4"/>
  <c r="P106" i="5"/>
  <c r="P114" i="5"/>
  <c r="P113" i="5"/>
  <c r="P112" i="5"/>
  <c r="P109" i="5"/>
  <c r="P108" i="5"/>
  <c r="P107" i="5"/>
  <c r="M36" i="4"/>
  <c r="P105" i="5"/>
  <c r="P104" i="5"/>
  <c r="P103" i="5"/>
  <c r="M35" i="4"/>
  <c r="P102" i="5"/>
  <c r="P101" i="5"/>
  <c r="P100" i="5"/>
  <c r="P99" i="5"/>
  <c r="M34" i="4"/>
  <c r="P98" i="5"/>
  <c r="P97" i="5"/>
  <c r="P96" i="5"/>
  <c r="P95" i="5"/>
  <c r="P94" i="5"/>
  <c r="P93" i="5"/>
  <c r="P92" i="5"/>
  <c r="P91" i="5"/>
  <c r="I16" i="4"/>
  <c r="I17" i="4" s="1"/>
  <c r="I18" i="4" s="1"/>
  <c r="I19" i="4" s="1"/>
  <c r="J20" i="5"/>
  <c r="J21" i="5" s="1"/>
  <c r="J22" i="5" s="1"/>
  <c r="I14" i="4"/>
  <c r="B40" i="1"/>
  <c r="A46" i="3"/>
  <c r="M29" i="4"/>
  <c r="M30" i="4"/>
  <c r="M31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33" i="4"/>
  <c r="M32" i="4"/>
  <c r="M28" i="4"/>
  <c r="M27" i="4"/>
  <c r="M26" i="4"/>
  <c r="M25" i="4"/>
  <c r="P70" i="5"/>
  <c r="P69" i="5"/>
  <c r="P68" i="5"/>
  <c r="P67" i="5"/>
  <c r="J18" i="5"/>
  <c r="P90" i="5"/>
  <c r="P89" i="5"/>
  <c r="P88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66" i="5"/>
  <c r="P65" i="5"/>
  <c r="P64" i="5"/>
  <c r="P63" i="5"/>
  <c r="P52" i="5"/>
  <c r="P51" i="5"/>
  <c r="P50" i="5"/>
  <c r="C40" i="4"/>
  <c r="C34" i="4"/>
  <c r="C24" i="4"/>
  <c r="L78" i="5"/>
  <c r="C60" i="5"/>
  <c r="C12" i="5"/>
  <c r="L68" i="5"/>
  <c r="C18" i="5"/>
  <c r="C56" i="5"/>
  <c r="C118" i="5"/>
  <c r="C44" i="5"/>
  <c r="C92" i="5"/>
  <c r="C78" i="5"/>
  <c r="C38" i="5"/>
  <c r="C96" i="5"/>
  <c r="C48" i="5"/>
  <c r="L88" i="5"/>
  <c r="C58" i="5"/>
  <c r="C36" i="5"/>
  <c r="L86" i="5"/>
  <c r="C104" i="5"/>
  <c r="L74" i="5"/>
  <c r="L72" i="5"/>
  <c r="C28" i="5"/>
  <c r="C26" i="5"/>
  <c r="C80" i="5"/>
  <c r="C24" i="5"/>
  <c r="C46" i="5"/>
  <c r="C42" i="5"/>
  <c r="C14" i="5"/>
  <c r="C54" i="5"/>
  <c r="C76" i="5"/>
  <c r="C70" i="5"/>
  <c r="L94" i="5"/>
  <c r="C45" i="1"/>
  <c r="N51" i="3" s="1"/>
  <c r="B34" i="1"/>
  <c r="B28" i="1" s="1"/>
  <c r="L92" i="5"/>
  <c r="M51" i="3"/>
  <c r="C114" i="5"/>
  <c r="L96" i="5"/>
  <c r="A40" i="3"/>
  <c r="C28" i="4"/>
  <c r="L116" i="5"/>
  <c r="L76" i="5"/>
  <c r="L110" i="5"/>
  <c r="L64" i="5"/>
  <c r="C64" i="5"/>
  <c r="L82" i="5"/>
  <c r="L106" i="5"/>
  <c r="C52" i="5"/>
  <c r="C82" i="5"/>
  <c r="L104" i="5"/>
  <c r="C14" i="4"/>
  <c r="C30" i="5"/>
  <c r="C94" i="5"/>
  <c r="L100" i="5"/>
  <c r="C100" i="5"/>
  <c r="L66" i="5"/>
  <c r="C66" i="5"/>
  <c r="C106" i="5"/>
  <c r="L102" i="5"/>
  <c r="C102" i="5"/>
  <c r="L112" i="5"/>
  <c r="C108" i="5"/>
  <c r="L108" i="5"/>
  <c r="C112" i="5"/>
  <c r="L114" i="5"/>
  <c r="C30" i="4"/>
  <c r="C120" i="5"/>
  <c r="C36" i="4"/>
  <c r="C68" i="5"/>
  <c r="C20" i="5"/>
  <c r="C34" i="5"/>
  <c r="C116" i="5"/>
  <c r="C16" i="5"/>
  <c r="C40" i="5"/>
  <c r="M124" i="5"/>
  <c r="C90" i="5"/>
  <c r="L90" i="5"/>
  <c r="L98" i="5"/>
  <c r="C98" i="5"/>
  <c r="H18" i="5" l="1"/>
  <c r="C83" i="5"/>
  <c r="G18" i="5"/>
  <c r="J17" i="5"/>
  <c r="J16" i="5" s="1"/>
  <c r="I16" i="5" s="1"/>
  <c r="L103" i="5"/>
  <c r="M127" i="5"/>
  <c r="C107" i="5"/>
  <c r="L97" i="5"/>
  <c r="L105" i="5"/>
  <c r="C63" i="5"/>
  <c r="L85" i="5"/>
  <c r="L65" i="5"/>
  <c r="L67" i="5"/>
  <c r="C71" i="5"/>
  <c r="L99" i="5"/>
  <c r="C95" i="5"/>
  <c r="C73" i="5"/>
  <c r="C111" i="5"/>
  <c r="L91" i="5"/>
  <c r="G20" i="5"/>
  <c r="I18" i="5"/>
  <c r="G22" i="5"/>
  <c r="H22" i="5"/>
  <c r="J23" i="5"/>
  <c r="F15" i="4"/>
  <c r="F18" i="4"/>
  <c r="J15" i="5"/>
  <c r="G15" i="5" s="1"/>
  <c r="H14" i="4"/>
  <c r="I20" i="5"/>
  <c r="H19" i="5"/>
  <c r="H21" i="5"/>
  <c r="G16" i="4"/>
  <c r="L117" i="5"/>
  <c r="C101" i="5"/>
  <c r="L69" i="5"/>
  <c r="G21" i="5"/>
  <c r="M123" i="5"/>
  <c r="I21" i="5"/>
  <c r="I22" i="5"/>
  <c r="G14" i="4"/>
  <c r="H18" i="4"/>
  <c r="G18" i="4"/>
  <c r="H17" i="4"/>
  <c r="C93" i="5"/>
  <c r="L113" i="5"/>
  <c r="L77" i="5"/>
  <c r="C31" i="4"/>
  <c r="G17" i="4"/>
  <c r="C109" i="5"/>
  <c r="C74" i="5"/>
  <c r="C50" i="5"/>
  <c r="H20" i="5"/>
  <c r="H16" i="4"/>
  <c r="C81" i="5"/>
  <c r="C33" i="5"/>
  <c r="C86" i="5"/>
  <c r="C72" i="5"/>
  <c r="C32" i="5"/>
  <c r="I13" i="4"/>
  <c r="G13" i="4" s="1"/>
  <c r="C110" i="5"/>
  <c r="C75" i="5"/>
  <c r="L75" i="5"/>
  <c r="C62" i="5"/>
  <c r="C39" i="4"/>
  <c r="C79" i="5"/>
  <c r="L79" i="5"/>
  <c r="C84" i="5"/>
  <c r="L84" i="5"/>
  <c r="L70" i="5"/>
  <c r="C22" i="5"/>
  <c r="A34" i="3"/>
  <c r="B22" i="1"/>
  <c r="C33" i="1"/>
  <c r="C89" i="5"/>
  <c r="L89" i="5"/>
  <c r="L115" i="5"/>
  <c r="C115" i="5"/>
  <c r="G15" i="4"/>
  <c r="F16" i="4"/>
  <c r="I20" i="4"/>
  <c r="F19" i="4"/>
  <c r="G19" i="4"/>
  <c r="H19" i="4"/>
  <c r="C32" i="4"/>
  <c r="F14" i="4"/>
  <c r="L87" i="5"/>
  <c r="C38" i="4"/>
  <c r="C88" i="5"/>
  <c r="L80" i="5"/>
  <c r="F17" i="4"/>
  <c r="C39" i="1"/>
  <c r="G16" i="5" l="1"/>
  <c r="H17" i="5"/>
  <c r="I17" i="5"/>
  <c r="G17" i="5"/>
  <c r="H16" i="5"/>
  <c r="H15" i="5"/>
  <c r="J14" i="5"/>
  <c r="I15" i="5"/>
  <c r="F13" i="4"/>
  <c r="I23" i="5"/>
  <c r="G23" i="5"/>
  <c r="H23" i="5"/>
  <c r="J24" i="5"/>
  <c r="H13" i="4"/>
  <c r="J13" i="5"/>
  <c r="C27" i="1"/>
  <c r="A28" i="3"/>
  <c r="B16" i="1"/>
  <c r="F20" i="4"/>
  <c r="I21" i="4"/>
  <c r="G20" i="4"/>
  <c r="H20" i="4"/>
  <c r="I14" i="5" l="1"/>
  <c r="H14" i="5"/>
  <c r="G14" i="5"/>
  <c r="I24" i="5"/>
  <c r="G24" i="5"/>
  <c r="J25" i="5"/>
  <c r="H24" i="5"/>
  <c r="J12" i="5"/>
  <c r="G13" i="5"/>
  <c r="H13" i="5"/>
  <c r="I13" i="5"/>
  <c r="A22" i="3"/>
  <c r="B10" i="1"/>
  <c r="C21" i="1"/>
  <c r="F21" i="4"/>
  <c r="G21" i="4"/>
  <c r="I22" i="4"/>
  <c r="H21" i="4"/>
  <c r="G33" i="3"/>
  <c r="E33" i="3"/>
  <c r="C33" i="3"/>
  <c r="H25" i="5" l="1"/>
  <c r="G25" i="5"/>
  <c r="J26" i="5"/>
  <c r="I25" i="5"/>
  <c r="G12" i="5"/>
  <c r="H12" i="5"/>
  <c r="J11" i="5"/>
  <c r="I12" i="5"/>
  <c r="G27" i="3"/>
  <c r="H33" i="3" s="1"/>
  <c r="C27" i="3"/>
  <c r="D33" i="3" s="1"/>
  <c r="E27" i="3"/>
  <c r="F33" i="3" s="1"/>
  <c r="C15" i="1"/>
  <c r="A16" i="3"/>
  <c r="B4" i="1"/>
  <c r="H22" i="4"/>
  <c r="G22" i="4"/>
  <c r="F22" i="4"/>
  <c r="I23" i="4"/>
  <c r="H26" i="5" l="1"/>
  <c r="J27" i="5"/>
  <c r="I26" i="5"/>
  <c r="G26" i="5"/>
  <c r="G11" i="5"/>
  <c r="H11" i="5"/>
  <c r="I11" i="5"/>
  <c r="E21" i="3"/>
  <c r="F21" i="3" s="1"/>
  <c r="C21" i="3"/>
  <c r="D21" i="3" s="1"/>
  <c r="G21" i="3"/>
  <c r="H21" i="3" s="1"/>
  <c r="C5" i="1"/>
  <c r="A10" i="3"/>
  <c r="C9" i="1"/>
  <c r="G23" i="4"/>
  <c r="I24" i="4"/>
  <c r="F23" i="4"/>
  <c r="H23" i="4"/>
  <c r="H27" i="5" l="1"/>
  <c r="J28" i="5"/>
  <c r="I27" i="5"/>
  <c r="G27" i="5"/>
  <c r="F27" i="3"/>
  <c r="H27" i="3"/>
  <c r="D27" i="3"/>
  <c r="E15" i="3"/>
  <c r="F15" i="3" s="1"/>
  <c r="G15" i="3"/>
  <c r="H15" i="3" s="1"/>
  <c r="C15" i="3"/>
  <c r="D15" i="3" s="1"/>
  <c r="H24" i="4"/>
  <c r="I25" i="4"/>
  <c r="F24" i="4"/>
  <c r="G24" i="4"/>
  <c r="C6" i="1"/>
  <c r="C11" i="3"/>
  <c r="D11" i="3" s="1"/>
  <c r="G11" i="3"/>
  <c r="H11" i="3" s="1"/>
  <c r="E11" i="3"/>
  <c r="F11" i="3" s="1"/>
  <c r="J29" i="5" l="1"/>
  <c r="I28" i="5"/>
  <c r="G28" i="5"/>
  <c r="H28" i="5"/>
  <c r="G12" i="3"/>
  <c r="H12" i="3" s="1"/>
  <c r="C7" i="1"/>
  <c r="C12" i="3"/>
  <c r="D12" i="3" s="1"/>
  <c r="E12" i="3"/>
  <c r="F12" i="3" s="1"/>
  <c r="I26" i="4"/>
  <c r="G25" i="4"/>
  <c r="H25" i="4"/>
  <c r="F25" i="4"/>
  <c r="I29" i="5" l="1"/>
  <c r="G29" i="5"/>
  <c r="J30" i="5"/>
  <c r="H29" i="5"/>
  <c r="C13" i="3"/>
  <c r="D13" i="3" s="1"/>
  <c r="G13" i="3"/>
  <c r="H13" i="3" s="1"/>
  <c r="C8" i="1"/>
  <c r="E13" i="3"/>
  <c r="F13" i="3" s="1"/>
  <c r="G26" i="4"/>
  <c r="I27" i="4"/>
  <c r="F26" i="4"/>
  <c r="H26" i="4"/>
  <c r="G30" i="5" l="1"/>
  <c r="I30" i="5"/>
  <c r="H30" i="5"/>
  <c r="J31" i="5"/>
  <c r="E14" i="3"/>
  <c r="F14" i="3" s="1"/>
  <c r="C11" i="1"/>
  <c r="G14" i="3"/>
  <c r="H14" i="3" s="1"/>
  <c r="C14" i="3"/>
  <c r="D14" i="3" s="1"/>
  <c r="I28" i="4"/>
  <c r="F27" i="4"/>
  <c r="H27" i="4"/>
  <c r="G27" i="4"/>
  <c r="H31" i="5" l="1"/>
  <c r="I31" i="5"/>
  <c r="J32" i="5"/>
  <c r="G31" i="5"/>
  <c r="G28" i="4"/>
  <c r="H28" i="4"/>
  <c r="I29" i="4"/>
  <c r="F28" i="4"/>
  <c r="E17" i="3"/>
  <c r="F17" i="3" s="1"/>
  <c r="G17" i="3"/>
  <c r="H17" i="3" s="1"/>
  <c r="C17" i="3"/>
  <c r="D17" i="3" s="1"/>
  <c r="C12" i="1"/>
  <c r="G32" i="5" l="1"/>
  <c r="I32" i="5"/>
  <c r="H32" i="5"/>
  <c r="J33" i="5"/>
  <c r="E18" i="3"/>
  <c r="F18" i="3" s="1"/>
  <c r="C18" i="3"/>
  <c r="D18" i="3" s="1"/>
  <c r="C13" i="1"/>
  <c r="G18" i="3"/>
  <c r="H18" i="3" s="1"/>
  <c r="I30" i="4"/>
  <c r="H29" i="4"/>
  <c r="F29" i="4"/>
  <c r="G29" i="4"/>
  <c r="G33" i="5" l="1"/>
  <c r="H33" i="5"/>
  <c r="I33" i="5"/>
  <c r="J34" i="5"/>
  <c r="E19" i="3"/>
  <c r="F19" i="3" s="1"/>
  <c r="C19" i="3"/>
  <c r="D19" i="3" s="1"/>
  <c r="G19" i="3"/>
  <c r="H19" i="3" s="1"/>
  <c r="C14" i="1"/>
  <c r="I31" i="4"/>
  <c r="G30" i="4"/>
  <c r="F30" i="4"/>
  <c r="H30" i="4"/>
  <c r="H34" i="5" l="1"/>
  <c r="I34" i="5"/>
  <c r="G34" i="5"/>
  <c r="J35" i="5"/>
  <c r="C17" i="1"/>
  <c r="E20" i="3"/>
  <c r="F20" i="3" s="1"/>
  <c r="C20" i="3"/>
  <c r="D20" i="3" s="1"/>
  <c r="G20" i="3"/>
  <c r="H20" i="3" s="1"/>
  <c r="F31" i="4"/>
  <c r="G31" i="4"/>
  <c r="I32" i="4"/>
  <c r="H31" i="4"/>
  <c r="J36" i="5" l="1"/>
  <c r="I35" i="5"/>
  <c r="G35" i="5"/>
  <c r="H35" i="5"/>
  <c r="F32" i="4"/>
  <c r="H32" i="4"/>
  <c r="I33" i="4"/>
  <c r="G32" i="4"/>
  <c r="C18" i="1"/>
  <c r="C23" i="3"/>
  <c r="D23" i="3" s="1"/>
  <c r="E23" i="3"/>
  <c r="F23" i="3" s="1"/>
  <c r="G23" i="3"/>
  <c r="H23" i="3" s="1"/>
  <c r="G36" i="5" l="1"/>
  <c r="I36" i="5"/>
  <c r="J37" i="5"/>
  <c r="H36" i="5"/>
  <c r="C19" i="1"/>
  <c r="C24" i="3"/>
  <c r="D24" i="3" s="1"/>
  <c r="E24" i="3"/>
  <c r="F24" i="3" s="1"/>
  <c r="G24" i="3"/>
  <c r="H24" i="3" s="1"/>
  <c r="I34" i="4"/>
  <c r="F33" i="4"/>
  <c r="G33" i="4"/>
  <c r="H33" i="4"/>
  <c r="G37" i="5" l="1"/>
  <c r="I37" i="5"/>
  <c r="H37" i="5"/>
  <c r="J38" i="5"/>
  <c r="G34" i="4"/>
  <c r="I35" i="4"/>
  <c r="F34" i="4"/>
  <c r="H34" i="4"/>
  <c r="C20" i="1"/>
  <c r="E25" i="3"/>
  <c r="F25" i="3" s="1"/>
  <c r="C25" i="3"/>
  <c r="D25" i="3" s="1"/>
  <c r="G25" i="3"/>
  <c r="H25" i="3" s="1"/>
  <c r="G38" i="5" l="1"/>
  <c r="J39" i="5"/>
  <c r="I38" i="5"/>
  <c r="H38" i="5"/>
  <c r="I36" i="4"/>
  <c r="F35" i="4"/>
  <c r="H35" i="4"/>
  <c r="G35" i="4"/>
  <c r="C23" i="1"/>
  <c r="G26" i="3"/>
  <c r="H26" i="3" s="1"/>
  <c r="C26" i="3"/>
  <c r="D26" i="3" s="1"/>
  <c r="E26" i="3"/>
  <c r="F26" i="3" s="1"/>
  <c r="G39" i="5" l="1"/>
  <c r="H39" i="5"/>
  <c r="J40" i="5"/>
  <c r="I39" i="5"/>
  <c r="G29" i="3"/>
  <c r="H29" i="3" s="1"/>
  <c r="C24" i="1"/>
  <c r="C29" i="3"/>
  <c r="D29" i="3" s="1"/>
  <c r="E29" i="3"/>
  <c r="F29" i="3" s="1"/>
  <c r="F36" i="4"/>
  <c r="H36" i="4"/>
  <c r="I37" i="4"/>
  <c r="G36" i="4"/>
  <c r="G40" i="5" l="1"/>
  <c r="J41" i="5"/>
  <c r="H40" i="5"/>
  <c r="I40" i="5"/>
  <c r="E30" i="3"/>
  <c r="F30" i="3" s="1"/>
  <c r="G30" i="3"/>
  <c r="H30" i="3" s="1"/>
  <c r="C30" i="3"/>
  <c r="D30" i="3" s="1"/>
  <c r="C25" i="1"/>
  <c r="F37" i="4"/>
  <c r="G37" i="4"/>
  <c r="I38" i="4"/>
  <c r="H37" i="4"/>
  <c r="J42" i="5" l="1"/>
  <c r="I41" i="5"/>
  <c r="G41" i="5"/>
  <c r="H41" i="5"/>
  <c r="G38" i="4"/>
  <c r="I39" i="4"/>
  <c r="F38" i="4"/>
  <c r="H38" i="4"/>
  <c r="C26" i="1"/>
  <c r="G31" i="3"/>
  <c r="H31" i="3" s="1"/>
  <c r="C31" i="3"/>
  <c r="D31" i="3" s="1"/>
  <c r="E31" i="3"/>
  <c r="F31" i="3" s="1"/>
  <c r="I42" i="5" l="1"/>
  <c r="G42" i="5"/>
  <c r="J43" i="5"/>
  <c r="H42" i="5"/>
  <c r="C32" i="3"/>
  <c r="D32" i="3" s="1"/>
  <c r="E32" i="3"/>
  <c r="F32" i="3" s="1"/>
  <c r="C29" i="1"/>
  <c r="G32" i="3"/>
  <c r="H32" i="3" s="1"/>
  <c r="H39" i="4"/>
  <c r="I40" i="4"/>
  <c r="H40" i="4" s="1"/>
  <c r="F39" i="4"/>
  <c r="L39" i="3" s="1"/>
  <c r="G39" i="4"/>
  <c r="G43" i="5" l="1"/>
  <c r="J44" i="5"/>
  <c r="H43" i="5"/>
  <c r="I43" i="5"/>
  <c r="F40" i="4"/>
  <c r="L45" i="3" s="1"/>
  <c r="I41" i="4"/>
  <c r="G40" i="4"/>
  <c r="C35" i="3"/>
  <c r="D35" i="3" s="1"/>
  <c r="C30" i="1"/>
  <c r="E35" i="3"/>
  <c r="F35" i="3" s="1"/>
  <c r="G35" i="3"/>
  <c r="H35" i="3" s="1"/>
  <c r="F41" i="4" l="1"/>
  <c r="L51" i="3" s="1"/>
  <c r="G41" i="4"/>
  <c r="M45" i="3" s="1"/>
  <c r="H41" i="4"/>
  <c r="N45" i="3" s="1"/>
  <c r="J45" i="5"/>
  <c r="G44" i="5"/>
  <c r="I44" i="5"/>
  <c r="H44" i="5"/>
  <c r="E36" i="3"/>
  <c r="F36" i="3" s="1"/>
  <c r="G36" i="3"/>
  <c r="H36" i="3" s="1"/>
  <c r="C36" i="3"/>
  <c r="D36" i="3" s="1"/>
  <c r="C31" i="1"/>
  <c r="I45" i="5" l="1"/>
  <c r="J46" i="5"/>
  <c r="G45" i="5"/>
  <c r="H45" i="5"/>
  <c r="C37" i="3"/>
  <c r="D37" i="3" s="1"/>
  <c r="C32" i="1"/>
  <c r="I46" i="5" l="1"/>
  <c r="H46" i="5"/>
  <c r="G46" i="5"/>
  <c r="J47" i="5"/>
  <c r="C35" i="1"/>
  <c r="C38" i="3"/>
  <c r="D38" i="3" s="1"/>
  <c r="G47" i="5" l="1"/>
  <c r="H47" i="5"/>
  <c r="I47" i="5"/>
  <c r="J48" i="5"/>
  <c r="C39" i="3"/>
  <c r="D39" i="3" s="1"/>
  <c r="C36" i="1"/>
  <c r="C41" i="3"/>
  <c r="D41" i="3" s="1"/>
  <c r="G41" i="3"/>
  <c r="H41" i="3" s="1"/>
  <c r="E41" i="3"/>
  <c r="F41" i="3" s="1"/>
  <c r="E39" i="3" l="1"/>
  <c r="F39" i="3" s="1"/>
  <c r="I48" i="5"/>
  <c r="J49" i="5"/>
  <c r="G48" i="5"/>
  <c r="H48" i="5"/>
  <c r="C37" i="1"/>
  <c r="C42" i="3"/>
  <c r="D42" i="3" s="1"/>
  <c r="E42" i="3"/>
  <c r="F42" i="3" s="1"/>
  <c r="G42" i="3"/>
  <c r="H42" i="3" s="1"/>
  <c r="I49" i="5" l="1"/>
  <c r="J50" i="5"/>
  <c r="G49" i="5"/>
  <c r="H49" i="5"/>
  <c r="C43" i="3"/>
  <c r="D43" i="3" s="1"/>
  <c r="E43" i="3"/>
  <c r="C38" i="1"/>
  <c r="G43" i="3"/>
  <c r="H50" i="5" l="1"/>
  <c r="G50" i="5"/>
  <c r="I50" i="5"/>
  <c r="J51" i="5"/>
  <c r="G44" i="3"/>
  <c r="C41" i="1"/>
  <c r="C44" i="3"/>
  <c r="D44" i="3" s="1"/>
  <c r="E44" i="3"/>
  <c r="G45" i="3" l="1"/>
  <c r="C45" i="3"/>
  <c r="D45" i="3" s="1"/>
  <c r="I51" i="5"/>
  <c r="H51" i="5"/>
  <c r="G51" i="5"/>
  <c r="J52" i="5"/>
  <c r="C42" i="1"/>
  <c r="G47" i="3"/>
  <c r="H47" i="3" s="1"/>
  <c r="C47" i="3"/>
  <c r="D47" i="3" s="1"/>
  <c r="E47" i="3"/>
  <c r="F47" i="3" s="1"/>
  <c r="E45" i="3" l="1"/>
  <c r="F45" i="3" s="1"/>
  <c r="G52" i="5"/>
  <c r="H52" i="5"/>
  <c r="J53" i="5"/>
  <c r="I52" i="5"/>
  <c r="C48" i="3"/>
  <c r="D48" i="3" s="1"/>
  <c r="C43" i="1"/>
  <c r="E48" i="3"/>
  <c r="F48" i="3" s="1"/>
  <c r="G48" i="3"/>
  <c r="H48" i="3" s="1"/>
  <c r="J54" i="5" l="1"/>
  <c r="I53" i="5"/>
  <c r="G53" i="5"/>
  <c r="H53" i="5"/>
  <c r="G49" i="3"/>
  <c r="H49" i="3" s="1"/>
  <c r="C44" i="1"/>
  <c r="C49" i="3"/>
  <c r="D49" i="3" s="1"/>
  <c r="E49" i="3"/>
  <c r="F49" i="3" s="1"/>
  <c r="I54" i="5" l="1"/>
  <c r="H54" i="5"/>
  <c r="G54" i="5"/>
  <c r="J55" i="5"/>
  <c r="E50" i="3"/>
  <c r="F50" i="3" s="1"/>
  <c r="G50" i="3"/>
  <c r="H50" i="3" s="1"/>
  <c r="C50" i="3"/>
  <c r="D50" i="3" s="1"/>
  <c r="H55" i="5" l="1"/>
  <c r="J56" i="5"/>
  <c r="G55" i="5"/>
  <c r="I55" i="5"/>
  <c r="C51" i="3"/>
  <c r="D51" i="3" s="1"/>
  <c r="G51" i="3"/>
  <c r="G56" i="5" l="1"/>
  <c r="H56" i="5"/>
  <c r="I56" i="5"/>
  <c r="J57" i="5"/>
  <c r="E51" i="3"/>
  <c r="F51" i="3" s="1"/>
  <c r="H51" i="3"/>
  <c r="G57" i="5" l="1"/>
  <c r="I57" i="5"/>
  <c r="H57" i="5"/>
  <c r="J58" i="5"/>
  <c r="H58" i="5" l="1"/>
  <c r="G58" i="5"/>
  <c r="I58" i="5"/>
  <c r="J59" i="5"/>
  <c r="H59" i="5" l="1"/>
  <c r="G59" i="5"/>
  <c r="I59" i="5"/>
  <c r="J60" i="5"/>
  <c r="I60" i="5" l="1"/>
  <c r="H60" i="5"/>
  <c r="J61" i="5"/>
  <c r="G60" i="5"/>
  <c r="G61" i="5" l="1"/>
  <c r="H61" i="5"/>
  <c r="I61" i="5"/>
  <c r="J62" i="5"/>
  <c r="G62" i="5" l="1"/>
  <c r="I62" i="5"/>
  <c r="J63" i="5"/>
  <c r="H62" i="5"/>
  <c r="I63" i="5" l="1"/>
  <c r="J64" i="5"/>
  <c r="G63" i="5"/>
  <c r="H63" i="5"/>
  <c r="I64" i="5" l="1"/>
  <c r="H64" i="5"/>
  <c r="G64" i="5"/>
  <c r="J65" i="5"/>
  <c r="J66" i="5" l="1"/>
  <c r="G65" i="5"/>
  <c r="H65" i="5"/>
  <c r="I65" i="5"/>
  <c r="H66" i="5" l="1"/>
  <c r="G66" i="5"/>
  <c r="J67" i="5"/>
  <c r="I66" i="5"/>
  <c r="H67" i="5" l="1"/>
  <c r="I67" i="5"/>
  <c r="J68" i="5"/>
  <c r="G67" i="5"/>
  <c r="G68" i="5" l="1"/>
  <c r="I68" i="5"/>
  <c r="H68" i="5"/>
  <c r="J69" i="5"/>
  <c r="H69" i="5" l="1"/>
  <c r="G69" i="5"/>
  <c r="J70" i="5"/>
  <c r="I69" i="5"/>
  <c r="H70" i="5" l="1"/>
  <c r="J71" i="5"/>
  <c r="I70" i="5"/>
  <c r="G70" i="5"/>
  <c r="I71" i="5" l="1"/>
  <c r="J72" i="5"/>
  <c r="G71" i="5"/>
  <c r="H71" i="5"/>
  <c r="G72" i="5" l="1"/>
  <c r="H72" i="5"/>
  <c r="I72" i="5"/>
  <c r="J73" i="5"/>
  <c r="I73" i="5" l="1"/>
  <c r="G73" i="5"/>
  <c r="J74" i="5"/>
  <c r="H73" i="5"/>
  <c r="J75" i="5" l="1"/>
  <c r="I74" i="5"/>
  <c r="H74" i="5"/>
  <c r="G74" i="5"/>
  <c r="H75" i="5" l="1"/>
  <c r="I75" i="5"/>
  <c r="J76" i="5"/>
  <c r="G75" i="5"/>
  <c r="K75" i="5" l="1"/>
  <c r="G76" i="5"/>
  <c r="J77" i="5"/>
  <c r="I76" i="5"/>
  <c r="H76" i="5"/>
  <c r="K76" i="5" l="1"/>
  <c r="H77" i="5"/>
  <c r="I77" i="5"/>
  <c r="J78" i="5"/>
  <c r="G77" i="5"/>
  <c r="K77" i="5" l="1"/>
  <c r="J79" i="5"/>
  <c r="I78" i="5"/>
  <c r="H78" i="5"/>
  <c r="G78" i="5"/>
  <c r="K78" i="5" l="1"/>
  <c r="H79" i="5"/>
  <c r="J80" i="5"/>
  <c r="G79" i="5"/>
  <c r="I79" i="5"/>
  <c r="J81" i="5" l="1"/>
  <c r="I80" i="5"/>
  <c r="G80" i="5"/>
  <c r="H80" i="5"/>
  <c r="K79" i="5"/>
  <c r="K80" i="5" l="1"/>
  <c r="H81" i="5"/>
  <c r="J82" i="5"/>
  <c r="G81" i="5"/>
  <c r="I81" i="5"/>
  <c r="G82" i="5" l="1"/>
  <c r="I82" i="5"/>
  <c r="H82" i="5"/>
  <c r="J83" i="5"/>
  <c r="K81" i="5"/>
  <c r="K82" i="5" l="1"/>
  <c r="J84" i="5"/>
  <c r="H83" i="5"/>
  <c r="G83" i="5"/>
  <c r="I83" i="5"/>
  <c r="I84" i="5" l="1"/>
  <c r="H84" i="5"/>
  <c r="J85" i="5"/>
  <c r="G84" i="5"/>
  <c r="K83" i="5"/>
  <c r="I85" i="5" l="1"/>
  <c r="G85" i="5"/>
  <c r="J86" i="5"/>
  <c r="H85" i="5"/>
  <c r="K84" i="5"/>
  <c r="G86" i="5" l="1"/>
  <c r="H86" i="5"/>
  <c r="J87" i="5"/>
  <c r="I86" i="5"/>
  <c r="K85" i="5"/>
  <c r="K86" i="5" l="1"/>
  <c r="J88" i="5"/>
  <c r="I87" i="5"/>
  <c r="H87" i="5"/>
  <c r="G87" i="5"/>
  <c r="K87" i="5" l="1"/>
  <c r="H88" i="5"/>
  <c r="I88" i="5"/>
  <c r="J89" i="5"/>
  <c r="G88" i="5"/>
  <c r="K88" i="5" l="1"/>
  <c r="I89" i="5"/>
  <c r="J90" i="5"/>
  <c r="G89" i="5"/>
  <c r="H89" i="5"/>
  <c r="H90" i="5" l="1"/>
  <c r="I90" i="5"/>
  <c r="G90" i="5"/>
  <c r="J91" i="5"/>
  <c r="K89" i="5"/>
  <c r="K90" i="5" l="1"/>
  <c r="J92" i="5"/>
  <c r="G91" i="5"/>
  <c r="I91" i="5"/>
  <c r="H91" i="5"/>
  <c r="K91" i="5" l="1"/>
  <c r="G92" i="5"/>
  <c r="H92" i="5"/>
  <c r="J93" i="5"/>
  <c r="I92" i="5"/>
  <c r="G93" i="5" l="1"/>
  <c r="H93" i="5"/>
  <c r="I93" i="5"/>
  <c r="J94" i="5"/>
  <c r="K92" i="5"/>
  <c r="I94" i="5" l="1"/>
  <c r="J95" i="5"/>
  <c r="G94" i="5"/>
  <c r="H94" i="5"/>
  <c r="I95" i="5" l="1"/>
  <c r="J96" i="5"/>
  <c r="H95" i="5"/>
  <c r="G95" i="5"/>
  <c r="J97" i="5" l="1"/>
  <c r="I96" i="5"/>
  <c r="H96" i="5"/>
  <c r="G96" i="5"/>
  <c r="I97" i="5" l="1"/>
  <c r="G97" i="5"/>
  <c r="J98" i="5"/>
  <c r="H97" i="5"/>
  <c r="G98" i="5" l="1"/>
  <c r="I98" i="5"/>
  <c r="J99" i="5"/>
  <c r="H98" i="5"/>
  <c r="I99" i="5" l="1"/>
  <c r="G99" i="5"/>
  <c r="H99" i="5"/>
  <c r="J100" i="5"/>
  <c r="J101" i="5" l="1"/>
  <c r="G100" i="5"/>
  <c r="H100" i="5"/>
  <c r="I100" i="5"/>
  <c r="H101" i="5" l="1"/>
  <c r="G101" i="5"/>
  <c r="I101" i="5"/>
  <c r="J102" i="5"/>
  <c r="H102" i="5" l="1"/>
  <c r="G102" i="5"/>
  <c r="I102" i="5"/>
  <c r="J103" i="5"/>
  <c r="I103" i="5" l="1"/>
  <c r="N11" i="3" s="1"/>
  <c r="H103" i="5"/>
  <c r="M11" i="3" s="1"/>
  <c r="J104" i="5"/>
  <c r="G103" i="5"/>
  <c r="K11" i="3" s="1"/>
  <c r="L11" i="3" s="1"/>
  <c r="J105" i="5" l="1"/>
  <c r="H104" i="5"/>
  <c r="M12" i="3" s="1"/>
  <c r="I104" i="5"/>
  <c r="N12" i="3" s="1"/>
  <c r="G104" i="5"/>
  <c r="K12" i="3" s="1"/>
  <c r="L12" i="3" s="1"/>
  <c r="G105" i="5" l="1"/>
  <c r="K13" i="3" s="1"/>
  <c r="L13" i="3" s="1"/>
  <c r="H105" i="5"/>
  <c r="M13" i="3" s="1"/>
  <c r="I105" i="5"/>
  <c r="N13" i="3" s="1"/>
  <c r="J106" i="5"/>
  <c r="I106" i="5" l="1"/>
  <c r="N14" i="3" s="1"/>
  <c r="N15" i="3" s="1"/>
  <c r="H106" i="5"/>
  <c r="M14" i="3" s="1"/>
  <c r="M15" i="3" s="1"/>
  <c r="G106" i="5"/>
  <c r="K14" i="3" s="1"/>
  <c r="J107" i="5"/>
  <c r="L14" i="3" l="1"/>
  <c r="K15" i="3"/>
  <c r="L15" i="3" s="1"/>
  <c r="H107" i="5"/>
  <c r="M17" i="3" s="1"/>
  <c r="J108" i="5"/>
  <c r="I107" i="5"/>
  <c r="N17" i="3" s="1"/>
  <c r="G107" i="5"/>
  <c r="K17" i="3" s="1"/>
  <c r="L17" i="3" s="1"/>
  <c r="J109" i="5" l="1"/>
  <c r="I108" i="5"/>
  <c r="N18" i="3" s="1"/>
  <c r="G108" i="5"/>
  <c r="K18" i="3" s="1"/>
  <c r="L18" i="3" s="1"/>
  <c r="H108" i="5"/>
  <c r="M18" i="3" s="1"/>
  <c r="H109" i="5" l="1"/>
  <c r="M19" i="3" s="1"/>
  <c r="G109" i="5"/>
  <c r="K19" i="3" s="1"/>
  <c r="L19" i="3" s="1"/>
  <c r="I109" i="5"/>
  <c r="N19" i="3" s="1"/>
  <c r="J110" i="5"/>
  <c r="J111" i="5" l="1"/>
  <c r="G110" i="5"/>
  <c r="K20" i="3" s="1"/>
  <c r="I110" i="5"/>
  <c r="N20" i="3" s="1"/>
  <c r="N21" i="3" s="1"/>
  <c r="H110" i="5"/>
  <c r="M20" i="3" s="1"/>
  <c r="M21" i="3" s="1"/>
  <c r="L20" i="3" l="1"/>
  <c r="K21" i="3"/>
  <c r="L21" i="3" s="1"/>
  <c r="J112" i="5"/>
  <c r="I111" i="5"/>
  <c r="N23" i="3" s="1"/>
  <c r="G111" i="5"/>
  <c r="K23" i="3" s="1"/>
  <c r="L23" i="3" s="1"/>
  <c r="H111" i="5"/>
  <c r="M23" i="3" s="1"/>
  <c r="H112" i="5" l="1"/>
  <c r="M24" i="3" s="1"/>
  <c r="J113" i="5"/>
  <c r="I112" i="5"/>
  <c r="N24" i="3" s="1"/>
  <c r="G112" i="5"/>
  <c r="K24" i="3" s="1"/>
  <c r="L24" i="3" s="1"/>
  <c r="H113" i="5" l="1"/>
  <c r="M25" i="3" s="1"/>
  <c r="I113" i="5"/>
  <c r="N25" i="3" s="1"/>
  <c r="J114" i="5"/>
  <c r="G113" i="5"/>
  <c r="K25" i="3" s="1"/>
  <c r="L25" i="3" s="1"/>
  <c r="J115" i="5" l="1"/>
  <c r="G114" i="5"/>
  <c r="K26" i="3" s="1"/>
  <c r="L26" i="3" s="1"/>
  <c r="I114" i="5"/>
  <c r="N26" i="3" s="1"/>
  <c r="N27" i="3" s="1"/>
  <c r="H114" i="5"/>
  <c r="M26" i="3" s="1"/>
  <c r="M27" i="3" s="1"/>
  <c r="K27" i="3" l="1"/>
  <c r="L27" i="3" s="1"/>
  <c r="I115" i="5"/>
  <c r="N29" i="3" s="1"/>
  <c r="J116" i="5"/>
  <c r="G115" i="5"/>
  <c r="K29" i="3" s="1"/>
  <c r="L29" i="3" s="1"/>
  <c r="H115" i="5"/>
  <c r="M29" i="3" s="1"/>
  <c r="G116" i="5" l="1"/>
  <c r="K30" i="3" s="1"/>
  <c r="L30" i="3" s="1"/>
  <c r="I116" i="5"/>
  <c r="N30" i="3" s="1"/>
  <c r="J117" i="5"/>
  <c r="H116" i="5"/>
  <c r="M30" i="3" s="1"/>
  <c r="J118" i="5" l="1"/>
  <c r="H117" i="5"/>
  <c r="M31" i="3" s="1"/>
  <c r="I117" i="5"/>
  <c r="N31" i="3" s="1"/>
  <c r="G117" i="5"/>
  <c r="K31" i="3" s="1"/>
  <c r="L37" i="3" s="1"/>
  <c r="L31" i="3" l="1"/>
  <c r="I118" i="5"/>
  <c r="N32" i="3" s="1"/>
  <c r="N33" i="3" s="1"/>
  <c r="H118" i="5"/>
  <c r="M32" i="3" s="1"/>
  <c r="M33" i="3" s="1"/>
  <c r="J119" i="5"/>
  <c r="G118" i="5"/>
  <c r="K32" i="3" s="1"/>
  <c r="L38" i="3" l="1"/>
  <c r="L32" i="3"/>
  <c r="K33" i="3"/>
  <c r="L33" i="3" s="1"/>
  <c r="I119" i="5"/>
  <c r="N35" i="3" s="1"/>
  <c r="G119" i="5"/>
  <c r="K35" i="3" s="1"/>
  <c r="L35" i="3" s="1"/>
  <c r="H119" i="5"/>
  <c r="M35" i="3" s="1"/>
  <c r="J120" i="5"/>
  <c r="L41" i="3" l="1"/>
  <c r="G120" i="5"/>
  <c r="K36" i="3" s="1"/>
  <c r="L36" i="3" s="1"/>
  <c r="H120" i="5"/>
  <c r="M36" i="3" s="1"/>
  <c r="J121" i="5"/>
  <c r="I120" i="5"/>
  <c r="N36" i="3" s="1"/>
  <c r="L42" i="3" l="1"/>
  <c r="H121" i="5"/>
  <c r="M37" i="3" s="1"/>
  <c r="J122" i="5"/>
  <c r="I121" i="5"/>
  <c r="N37" i="3" s="1"/>
  <c r="G121" i="5"/>
  <c r="K37" i="3" s="1"/>
  <c r="L43" i="3" s="1"/>
  <c r="J123" i="5" l="1"/>
  <c r="H122" i="5"/>
  <c r="M38" i="3" s="1"/>
  <c r="M39" i="3" s="1"/>
  <c r="G122" i="5"/>
  <c r="I122" i="5"/>
  <c r="N38" i="3" s="1"/>
  <c r="N39" i="3" s="1"/>
  <c r="K38" i="3" l="1"/>
  <c r="L44" i="3" s="1"/>
  <c r="I123" i="5"/>
  <c r="N41" i="3" s="1"/>
  <c r="G123" i="5"/>
  <c r="H123" i="5"/>
  <c r="M41" i="3" s="1"/>
  <c r="J124" i="5"/>
  <c r="K39" i="3" l="1"/>
  <c r="I124" i="5"/>
  <c r="N42" i="3" s="1"/>
  <c r="G124" i="5"/>
  <c r="H124" i="5"/>
  <c r="M42" i="3" s="1"/>
  <c r="J125" i="5"/>
  <c r="K41" i="3"/>
  <c r="L47" i="3" s="1"/>
  <c r="H125" i="5" l="1"/>
  <c r="M43" i="3" s="1"/>
  <c r="I125" i="5"/>
  <c r="N43" i="3" s="1"/>
  <c r="G125" i="5"/>
  <c r="J126" i="5"/>
  <c r="K42" i="3"/>
  <c r="L48" i="3"/>
  <c r="G126" i="5" l="1"/>
  <c r="J127" i="5"/>
  <c r="H126" i="5"/>
  <c r="M44" i="3" s="1"/>
  <c r="I126" i="5"/>
  <c r="N44" i="3" s="1"/>
  <c r="L49" i="3"/>
  <c r="K43" i="3"/>
  <c r="I127" i="5" l="1"/>
  <c r="N47" i="3" s="1"/>
  <c r="J128" i="5"/>
  <c r="H127" i="5"/>
  <c r="M47" i="3" s="1"/>
  <c r="G127" i="5"/>
  <c r="K47" i="3" s="1"/>
  <c r="K44" i="3"/>
  <c r="K45" i="3"/>
  <c r="L50" i="3"/>
  <c r="I128" i="5" l="1"/>
  <c r="N48" i="3" s="1"/>
  <c r="J129" i="5"/>
  <c r="G128" i="5"/>
  <c r="K48" i="3" s="1"/>
  <c r="H128" i="5"/>
  <c r="M48" i="3" s="1"/>
  <c r="J130" i="5" l="1"/>
  <c r="G129" i="5"/>
  <c r="K49" i="3" s="1"/>
  <c r="I129" i="5"/>
  <c r="N49" i="3" s="1"/>
  <c r="H129" i="5"/>
  <c r="M49" i="3" s="1"/>
  <c r="G130" i="5" l="1"/>
  <c r="H130" i="5"/>
  <c r="M50" i="3" s="1"/>
  <c r="J131" i="5"/>
  <c r="I130" i="5"/>
  <c r="N50" i="3" s="1"/>
  <c r="G131" i="5" l="1"/>
  <c r="H131" i="5"/>
  <c r="I131" i="5"/>
  <c r="K51" i="3"/>
  <c r="K50" i="3"/>
  <c r="M122" i="5" l="1"/>
  <c r="E38" i="3" s="1"/>
  <c r="G38" i="3"/>
  <c r="M120" i="5"/>
  <c r="M118" i="5"/>
  <c r="M117" i="5"/>
  <c r="M116" i="5"/>
  <c r="M114" i="5"/>
  <c r="M113" i="5"/>
  <c r="M112" i="5"/>
  <c r="M110" i="5"/>
  <c r="M109" i="5"/>
  <c r="M108" i="5"/>
  <c r="M107" i="5"/>
  <c r="M106" i="5"/>
  <c r="M105" i="5"/>
  <c r="M104" i="5"/>
  <c r="M102" i="5"/>
  <c r="M101" i="5"/>
  <c r="M100" i="5"/>
  <c r="M98" i="5"/>
  <c r="M97" i="5"/>
  <c r="M96" i="5"/>
  <c r="M94" i="5"/>
  <c r="M92" i="5"/>
  <c r="M91" i="5"/>
  <c r="M90" i="5"/>
  <c r="M89" i="5"/>
  <c r="M88" i="5"/>
  <c r="M86" i="5"/>
  <c r="M85" i="5"/>
  <c r="M84" i="5"/>
  <c r="M83" i="5"/>
  <c r="M82" i="5"/>
  <c r="M81" i="5"/>
  <c r="M80" i="5"/>
  <c r="M79" i="5"/>
  <c r="M77" i="5"/>
  <c r="M76" i="5"/>
  <c r="M74" i="5"/>
  <c r="M73" i="5"/>
  <c r="M72" i="5"/>
  <c r="M70" i="5"/>
  <c r="M69" i="5"/>
  <c r="M68" i="5"/>
  <c r="M67" i="5"/>
  <c r="M66" i="5"/>
  <c r="M65" i="5"/>
  <c r="M64" i="5"/>
  <c r="M78" i="5" l="1"/>
  <c r="M93" i="5"/>
  <c r="M121" i="5"/>
  <c r="E37" i="3" s="1"/>
  <c r="G37" i="3"/>
  <c r="H38" i="3"/>
  <c r="H44" i="3"/>
  <c r="M63" i="5"/>
  <c r="M71" i="5"/>
  <c r="M75" i="5"/>
  <c r="M87" i="5"/>
  <c r="M95" i="5"/>
  <c r="M99" i="5"/>
  <c r="M103" i="5"/>
  <c r="M111" i="5"/>
  <c r="M115" i="5"/>
  <c r="M119" i="5"/>
  <c r="F38" i="3"/>
  <c r="F44" i="3"/>
  <c r="H37" i="3" l="1"/>
  <c r="G39" i="3"/>
  <c r="H43" i="3"/>
  <c r="F37" i="3"/>
  <c r="F43" i="3"/>
  <c r="I14" i="3" l="1"/>
  <c r="H39" i="3"/>
  <c r="H45" i="3"/>
  <c r="I50" i="3"/>
  <c r="I26" i="3"/>
  <c r="I18" i="3"/>
  <c r="I37" i="3"/>
  <c r="I29" i="3"/>
  <c r="I35" i="3" l="1"/>
  <c r="J35" i="3" s="1"/>
  <c r="I44" i="3"/>
  <c r="I43" i="3"/>
  <c r="J43" i="3" s="1"/>
  <c r="I38" i="3"/>
  <c r="I20" i="3"/>
  <c r="J20" i="3" s="1"/>
  <c r="I13" i="3"/>
  <c r="J13" i="3" s="1"/>
  <c r="I36" i="3"/>
  <c r="I11" i="3"/>
  <c r="J11" i="3" s="1"/>
  <c r="I23" i="3"/>
  <c r="J29" i="3" s="1"/>
  <c r="I31" i="3"/>
  <c r="J37" i="3" s="1"/>
  <c r="J44" i="3" l="1"/>
  <c r="I30" i="3"/>
  <c r="J36" i="3" s="1"/>
  <c r="J50" i="3"/>
  <c r="J26" i="3"/>
  <c r="I24" i="3"/>
  <c r="J24" i="3" s="1"/>
  <c r="I19" i="3"/>
  <c r="J19" i="3" s="1"/>
  <c r="I25" i="3"/>
  <c r="I41" i="3"/>
  <c r="J41" i="3" s="1"/>
  <c r="I42" i="3"/>
  <c r="J42" i="3" s="1"/>
  <c r="J25" i="3" l="1"/>
  <c r="I17" i="3"/>
  <c r="I32" i="3"/>
  <c r="J14" i="3"/>
  <c r="J31" i="3"/>
  <c r="J30" i="3"/>
  <c r="I12" i="3"/>
  <c r="J12" i="3" s="1"/>
  <c r="J18" i="3"/>
  <c r="I49" i="3"/>
  <c r="J49" i="3" s="1"/>
  <c r="I47" i="3"/>
  <c r="J47" i="3" s="1"/>
  <c r="I48" i="3"/>
  <c r="J48" i="3" s="1"/>
  <c r="J32" i="3" l="1"/>
  <c r="J38" i="3"/>
  <c r="J17" i="3"/>
  <c r="J23" i="3"/>
  <c r="I15" i="3" l="1"/>
  <c r="J15" i="3" s="1"/>
  <c r="I21" i="3" l="1"/>
  <c r="J21" i="3" s="1"/>
  <c r="I27" i="3" l="1"/>
  <c r="J27" i="3" l="1"/>
  <c r="I33" i="3"/>
  <c r="J33" i="3" l="1"/>
  <c r="I39" i="3"/>
  <c r="J39" i="3" s="1"/>
  <c r="I45" i="3" l="1"/>
  <c r="J45" i="3" s="1"/>
  <c r="I51" i="3" l="1"/>
  <c r="J51" i="3" s="1"/>
</calcChain>
</file>

<file path=xl/sharedStrings.xml><?xml version="1.0" encoding="utf-8"?>
<sst xmlns="http://schemas.openxmlformats.org/spreadsheetml/2006/main" count="453" uniqueCount="224">
  <si>
    <t>Data Placement Table</t>
  </si>
  <si>
    <t>Quarterly</t>
  </si>
  <si>
    <t>I</t>
  </si>
  <si>
    <t>II</t>
  </si>
  <si>
    <t>III</t>
  </si>
  <si>
    <t>IV</t>
  </si>
  <si>
    <t>Current Year</t>
  </si>
  <si>
    <t>Drive &amp; Directory</t>
  </si>
  <si>
    <t>h:\data\cattle\</t>
  </si>
  <si>
    <t>Workbook</t>
  </si>
  <si>
    <t>Worksheet</t>
  </si>
  <si>
    <t>LV STEERS</t>
  </si>
  <si>
    <t>Column</t>
  </si>
  <si>
    <t>V</t>
  </si>
  <si>
    <t>Raw Data Update</t>
  </si>
  <si>
    <t>MO/YR</t>
  </si>
  <si>
    <t>Slaughter Steer Price 5-Mkt Avg</t>
  </si>
  <si>
    <t>Feeder Steers 7-800 Lbs.</t>
  </si>
  <si>
    <t>Feeder Steers 5-600 Lbs.</t>
  </si>
  <si>
    <t>Raw Data - Quarterly Data</t>
  </si>
  <si>
    <t>Additional years</t>
  </si>
  <si>
    <t>forcasted</t>
  </si>
  <si>
    <t>h:\data\multi-species\</t>
  </si>
  <si>
    <t>See Month to QTR tab for links</t>
  </si>
  <si>
    <t>C</t>
  </si>
  <si>
    <t>A</t>
  </si>
  <si>
    <t>D</t>
  </si>
  <si>
    <t>N</t>
  </si>
  <si>
    <t>M</t>
  </si>
  <si>
    <t>Start Row</t>
  </si>
  <si>
    <t>Calculate Here</t>
  </si>
  <si>
    <t>**********   Forecast Table  ***********</t>
  </si>
  <si>
    <t>Estimated</t>
  </si>
  <si>
    <t>***   Quarterly    ***</t>
  </si>
  <si>
    <t>Commercial Slaughter</t>
  </si>
  <si>
    <t>Dressed Weight</t>
  </si>
  <si>
    <t>Commercial Beef Production</t>
  </si>
  <si>
    <t>Per Capita Consumption</t>
  </si>
  <si>
    <t>Quarter Ending</t>
  </si>
  <si>
    <t>Low</t>
  </si>
  <si>
    <t>High</t>
  </si>
  <si>
    <t>mid</t>
  </si>
  <si>
    <t>Raw Data - Annual Data</t>
  </si>
  <si>
    <t>Annual Data</t>
  </si>
  <si>
    <t>******   Forecast Table  *******</t>
  </si>
  <si>
    <t>***   Annual  ***</t>
  </si>
  <si>
    <t>high</t>
  </si>
  <si>
    <t>low</t>
  </si>
  <si>
    <t>QUARTERLY  COMMERCIAL  CATTLE  SLAUGHTER,  BEEF  PRODUCTION,</t>
  </si>
  <si>
    <r>
      <t xml:space="preserve">PER  CAPITA  BEEF  DISAPPEARANCE  AND  CATTLE  PRICES </t>
    </r>
    <r>
      <rPr>
        <b/>
        <vertAlign val="superscript"/>
        <sz val="20"/>
        <rFont val="Arial"/>
        <family val="2"/>
      </rPr>
      <t>a</t>
    </r>
  </si>
  <si>
    <t>% Chg.</t>
  </si>
  <si>
    <t>Average</t>
  </si>
  <si>
    <t>Comm'l</t>
  </si>
  <si>
    <t>Live Sltr.</t>
  </si>
  <si>
    <t xml:space="preserve">   Feeder Steer Price</t>
  </si>
  <si>
    <t>Year</t>
  </si>
  <si>
    <t>from</t>
  </si>
  <si>
    <t>Dressed</t>
  </si>
  <si>
    <t>Beef</t>
  </si>
  <si>
    <t>Per Capita</t>
  </si>
  <si>
    <t>Quarter</t>
  </si>
  <si>
    <t>Slaughter</t>
  </si>
  <si>
    <t>Year Ago</t>
  </si>
  <si>
    <t>Weight</t>
  </si>
  <si>
    <t>Production</t>
  </si>
  <si>
    <t>Consumption</t>
  </si>
  <si>
    <t>5-Mkt Avg</t>
  </si>
  <si>
    <t>7-800#</t>
  </si>
  <si>
    <t>5-600#</t>
  </si>
  <si>
    <t>(1,000 Head)</t>
  </si>
  <si>
    <t>(Lbs.)</t>
  </si>
  <si>
    <t>(Mil. Lbs.)</t>
  </si>
  <si>
    <t>(Retail Wt.)</t>
  </si>
  <si>
    <t>($/Cwt.)</t>
  </si>
  <si>
    <t xml:space="preserve">     ($/Cwt.)</t>
  </si>
  <si>
    <r>
      <t>a</t>
    </r>
    <r>
      <rPr>
        <sz val="12"/>
        <rFont val="Arial"/>
        <family val="2"/>
      </rPr>
      <t xml:space="preserve"> Totals may not add due to rounding.</t>
    </r>
  </si>
  <si>
    <r>
      <t>c</t>
    </r>
    <r>
      <rPr>
        <sz val="12"/>
        <rFont val="Arial"/>
        <family val="2"/>
      </rPr>
      <t xml:space="preserve"> Forecasted quarters</t>
    </r>
  </si>
  <si>
    <r>
      <t>b</t>
    </r>
    <r>
      <rPr>
        <sz val="12"/>
        <rFont val="Arial"/>
        <family val="2"/>
      </rPr>
      <t xml:space="preserve"> Projected/Estimated quarter</t>
    </r>
  </si>
  <si>
    <t>Sources: Livestock Slaughter - USDA/NASS; Steer Prices - USDA/AMS Livestock Market News; Projections and Forecasts by LMIC</t>
  </si>
  <si>
    <t>Raw Data - Monthly Data</t>
  </si>
  <si>
    <t>Quarterly Data</t>
  </si>
  <si>
    <t>Steer Price</t>
  </si>
  <si>
    <t>A2</t>
  </si>
  <si>
    <t>G</t>
  </si>
  <si>
    <t>E</t>
  </si>
  <si>
    <t>104-106</t>
  </si>
  <si>
    <t>94-96</t>
  </si>
  <si>
    <t>108-111</t>
  </si>
  <si>
    <t>99-101</t>
  </si>
  <si>
    <t>116-118</t>
  </si>
  <si>
    <t>100-102</t>
  </si>
  <si>
    <t>115-116</t>
  </si>
  <si>
    <t>110-112</t>
  </si>
  <si>
    <t>109-110</t>
  </si>
  <si>
    <t>103-106</t>
  </si>
  <si>
    <t>94-95</t>
  </si>
  <si>
    <t>96-97</t>
  </si>
  <si>
    <t>115-117</t>
  </si>
  <si>
    <t>126-130</t>
  </si>
  <si>
    <t>110-113</t>
  </si>
  <si>
    <t>124-127</t>
  </si>
  <si>
    <t>114-116</t>
  </si>
  <si>
    <t>121-122</t>
  </si>
  <si>
    <t>109-111</t>
  </si>
  <si>
    <t>114-115</t>
  </si>
  <si>
    <t>122-124</t>
  </si>
  <si>
    <t>128-129</t>
  </si>
  <si>
    <t>149-150</t>
  </si>
  <si>
    <t>130-132</t>
  </si>
  <si>
    <t>147-149</t>
  </si>
  <si>
    <t>b</t>
  </si>
  <si>
    <t>c</t>
  </si>
  <si>
    <t>135-137</t>
  </si>
  <si>
    <t>141-143</t>
  </si>
  <si>
    <t>148-149</t>
  </si>
  <si>
    <t>135-136</t>
  </si>
  <si>
    <t>143-144</t>
  </si>
  <si>
    <t>153-154</t>
  </si>
  <si>
    <t>154-155</t>
  </si>
  <si>
    <t>182-183</t>
  </si>
  <si>
    <t>179-180</t>
  </si>
  <si>
    <t>150-151</t>
  </si>
  <si>
    <t>141-142</t>
  </si>
  <si>
    <t>167-169</t>
  </si>
  <si>
    <t>145-146</t>
  </si>
  <si>
    <t>160-161</t>
  </si>
  <si>
    <t>142-143</t>
  </si>
  <si>
    <t>170-171</t>
  </si>
  <si>
    <r>
      <t xml:space="preserve">     Southern Plains</t>
    </r>
    <r>
      <rPr>
        <b/>
        <vertAlign val="superscript"/>
        <sz val="14"/>
        <rFont val="Arial"/>
        <family val="2"/>
      </rPr>
      <t xml:space="preserve"> d </t>
    </r>
  </si>
  <si>
    <r>
      <t>d</t>
    </r>
    <r>
      <rPr>
        <sz val="12"/>
        <rFont val="Arial"/>
        <family val="2"/>
      </rPr>
      <t xml:space="preserve"> Average of Kansas and Oklahoma Weekly Combined reports</t>
    </r>
  </si>
  <si>
    <t>159-160</t>
  </si>
  <si>
    <t>137-138</t>
  </si>
  <si>
    <t>155-156</t>
  </si>
  <si>
    <t>171-172</t>
  </si>
  <si>
    <t>150-152</t>
  </si>
  <si>
    <t>171-173</t>
  </si>
  <si>
    <t>166-167</t>
  </si>
  <si>
    <t>186-188</t>
  </si>
  <si>
    <t>170-172</t>
  </si>
  <si>
    <t>208-210</t>
  </si>
  <si>
    <t>193-194</t>
  </si>
  <si>
    <t>227-228</t>
  </si>
  <si>
    <t>224-225</t>
  </si>
  <si>
    <t>263-264</t>
  </si>
  <si>
    <t>238-239</t>
  </si>
  <si>
    <t>284-285</t>
  </si>
  <si>
    <t>207-208</t>
  </si>
  <si>
    <t>246-247</t>
  </si>
  <si>
    <t>215-216</t>
  </si>
  <si>
    <t>276-277</t>
  </si>
  <si>
    <t>225-226</t>
  </si>
  <si>
    <t>279-280</t>
  </si>
  <si>
    <t>245-247</t>
  </si>
  <si>
    <t>214-215</t>
  </si>
  <si>
    <t>177-178</t>
  </si>
  <si>
    <t>203-204</t>
  </si>
  <si>
    <t>208-209</t>
  </si>
  <si>
    <t>251-252</t>
  </si>
  <si>
    <t>195-196</t>
  </si>
  <si>
    <t>176-177</t>
  </si>
  <si>
    <t>113-145</t>
  </si>
  <si>
    <t>156-158</t>
  </si>
  <si>
    <t>138-139</t>
  </si>
  <si>
    <t>129-130</t>
  </si>
  <si>
    <t>131-132</t>
  </si>
  <si>
    <t>157-158</t>
  </si>
  <si>
    <t>168-169</t>
  </si>
  <si>
    <t>165-166</t>
  </si>
  <si>
    <t>179-181</t>
  </si>
  <si>
    <t>144-145</t>
  </si>
  <si>
    <t>169-170</t>
  </si>
  <si>
    <t>149-151</t>
  </si>
  <si>
    <t>167-168</t>
  </si>
  <si>
    <t>143-145</t>
  </si>
  <si>
    <t>156-157</t>
  </si>
  <si>
    <t>167-170</t>
  </si>
  <si>
    <t>166-168</t>
  </si>
  <si>
    <t>140-141</t>
  </si>
  <si>
    <t>152-153</t>
  </si>
  <si>
    <t>137-140</t>
  </si>
  <si>
    <t>164-166</t>
  </si>
  <si>
    <t>172-173</t>
  </si>
  <si>
    <t>158-159</t>
  </si>
  <si>
    <t>188-189</t>
  </si>
  <si>
    <t>190-193</t>
  </si>
  <si>
    <t>178-179</t>
  </si>
  <si>
    <t>190-192</t>
  </si>
  <si>
    <t>177-180</t>
  </si>
  <si>
    <t>169-171</t>
  </si>
  <si>
    <t>223-225</t>
  </si>
  <si>
    <t>184-186</t>
  </si>
  <si>
    <t>250-253</t>
  </si>
  <si>
    <t>210-212</t>
  </si>
  <si>
    <t>275-290</t>
  </si>
  <si>
    <t>285-300</t>
  </si>
  <si>
    <t>265-280</t>
  </si>
  <si>
    <t>280-295</t>
  </si>
  <si>
    <t>315-330</t>
  </si>
  <si>
    <t>325-340</t>
  </si>
  <si>
    <t>275-285</t>
  </si>
  <si>
    <t>280-290</t>
  </si>
  <si>
    <t>252-253</t>
  </si>
  <si>
    <t>280-281</t>
  </si>
  <si>
    <t>275-276</t>
  </si>
  <si>
    <t>259-260</t>
  </si>
  <si>
    <t>[mo (180) 5 mkt avg fats.xlsm]</t>
  </si>
  <si>
    <t>[combined auction SPlains.xlsm]</t>
  </si>
  <si>
    <t>[catsltr.xlsm]</t>
  </si>
  <si>
    <t>[sumq.xlsm]</t>
  </si>
  <si>
    <t>[catsltr.XLSM]</t>
  </si>
  <si>
    <t>234-235</t>
  </si>
  <si>
    <t>222-223</t>
  </si>
  <si>
    <t>256-259</t>
  </si>
  <si>
    <t>266-268</t>
  </si>
  <si>
    <t>245-246</t>
  </si>
  <si>
    <t>282-287</t>
  </si>
  <si>
    <t>320-325</t>
  </si>
  <si>
    <t>325-330</t>
  </si>
  <si>
    <t>320-330</t>
  </si>
  <si>
    <t>310-320</t>
  </si>
  <si>
    <t>319-321</t>
  </si>
  <si>
    <t>322-324</t>
  </si>
  <si>
    <t>321-323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</si>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</sst>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(* #,##0.00_);_(* \(#,##0.00\);_(* &quot;-&quot;??_);_(@_)"/>
    <numFmt numFmtId="164" formatCode="General_);[Red]\-General_)"/>
    <numFmt numFmtId="165" formatCode="0.00_);[Red]\(0.00\)"/>
    <numFmt numFmtId="166" formatCode="mm/dd/yy"/>
    <numFmt numFmtId="167" formatCode="mm/dd/yy;@"/>
    <numFmt numFmtId="168" formatCode="0.0"/>
    <numFmt numFmtId="169" formatCode="_(* #,##0_);_(* \(#,##0\);_(* &quot;-&quot;??_);_(@_)"/>
    <numFmt numFmtId="170" formatCode="0.0000"/>
    <numFmt numFmtId="171" formatCode="0%;[Red]\-0%"/>
    <numFmt numFmtId="172" formatCode="mm/dd/yy_)"/>
    <numFmt numFmtId="173" formatCode="0_)"/>
    <numFmt numFmtId="174" formatCode="_(* ###0_);_(* \(###0\);_(* &quot;-&quot;??_);_(@_)"/>
    <numFmt numFmtId="175" formatCode="#,##0.0_);\-#,##0.0_)"/>
    <numFmt numFmtId="176" formatCode="_(* ###0.0_);_(* \(###0.0\);_(* &quot;-&quot;??_);_(@_)"/>
    <numFmt numFmtId="177" formatCode="_(* ###0.00_);_(* \(###0.00\);_(* &quot;-&quot;??_);_(@_)"/>
    <numFmt numFmtId="178" formatCode="#,##0.00_);\-#,##0.00_)"/>
  </numFmts>
  <fonts count="3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10"/>
      <name val="Arial MT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vertAlign val="superscript"/>
      <sz val="20"/>
      <name val="Arial"/>
      <family val="2"/>
    </font>
    <font>
      <sz val="14"/>
      <name val="Arial MT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4"/>
      <color indexed="60"/>
      <name val="Arial"/>
      <family val="2"/>
    </font>
    <font>
      <sz val="10"/>
      <name val="Arial"/>
      <family val="2"/>
    </font>
    <font>
      <sz val="12"/>
      <name val="Arial MT"/>
    </font>
    <font>
      <sz val="10"/>
      <color indexed="56"/>
      <name val="Arial"/>
      <family val="2"/>
    </font>
    <font>
      <b/>
      <sz val="10"/>
      <color indexed="2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0"/>
      <color theme="3"/>
      <name val="Arial"/>
      <family val="2"/>
    </font>
    <font>
      <b/>
      <sz val="10"/>
      <color theme="9" tint="-0.249977111117893"/>
      <name val="Arial"/>
      <family val="2"/>
    </font>
    <font>
      <sz val="10"/>
      <color theme="3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47"/>
        <bgColor indexed="52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166" fontId="2" fillId="0" borderId="0" xfId="0" applyNumberFormat="1" applyFont="1"/>
    <xf numFmtId="0" fontId="6" fillId="2" borderId="1" xfId="0" applyFont="1" applyFill="1" applyBorder="1" applyAlignment="1">
      <alignment horizontal="right"/>
    </xf>
    <xf numFmtId="0" fontId="7" fillId="2" borderId="2" xfId="0" applyFont="1" applyFill="1" applyBorder="1"/>
    <xf numFmtId="0" fontId="8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164" fontId="0" fillId="2" borderId="3" xfId="0" applyNumberFormat="1" applyFill="1" applyBorder="1" applyAlignment="1">
      <alignment wrapText="1"/>
    </xf>
    <xf numFmtId="0" fontId="6" fillId="0" borderId="0" xfId="0" applyFont="1" applyAlignment="1">
      <alignment horizontal="right"/>
    </xf>
    <xf numFmtId="0" fontId="8" fillId="2" borderId="4" xfId="0" applyFont="1" applyFill="1" applyBorder="1" applyAlignment="1">
      <alignment horizontal="centerContinuous"/>
    </xf>
    <xf numFmtId="0" fontId="6" fillId="2" borderId="5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9" fillId="2" borderId="6" xfId="0" applyFont="1" applyFill="1" applyBorder="1" applyAlignment="1">
      <alignment horizontal="centerContinuous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horizontal="centerContinuous"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0" fillId="2" borderId="14" xfId="0" applyFill="1" applyBorder="1" applyAlignment="1">
      <alignment wrapText="1"/>
    </xf>
    <xf numFmtId="10" fontId="0" fillId="0" borderId="0" xfId="4" applyNumberFormat="1" applyFont="1"/>
    <xf numFmtId="17" fontId="0" fillId="0" borderId="0" xfId="0" applyNumberFormat="1"/>
    <xf numFmtId="2" fontId="10" fillId="0" borderId="0" xfId="0" applyNumberFormat="1" applyFont="1"/>
    <xf numFmtId="43" fontId="0" fillId="0" borderId="0" xfId="1" applyFont="1" applyAlignment="1">
      <alignment horizontal="center"/>
    </xf>
    <xf numFmtId="169" fontId="0" fillId="0" borderId="0" xfId="1" applyNumberFormat="1" applyFont="1"/>
    <xf numFmtId="2" fontId="0" fillId="0" borderId="0" xfId="0" applyNumberFormat="1"/>
    <xf numFmtId="169" fontId="11" fillId="0" borderId="0" xfId="1" applyNumberFormat="1" applyFont="1"/>
    <xf numFmtId="0" fontId="11" fillId="0" borderId="0" xfId="0" applyFont="1"/>
    <xf numFmtId="2" fontId="11" fillId="0" borderId="0" xfId="0" applyNumberFormat="1" applyFont="1"/>
    <xf numFmtId="43" fontId="11" fillId="0" borderId="0" xfId="1" applyFont="1" applyAlignment="1">
      <alignment horizontal="center"/>
    </xf>
    <xf numFmtId="43" fontId="11" fillId="0" borderId="0" xfId="1" applyFont="1"/>
    <xf numFmtId="170" fontId="11" fillId="0" borderId="0" xfId="1" applyNumberFormat="1" applyFont="1"/>
    <xf numFmtId="2" fontId="2" fillId="0" borderId="0" xfId="0" applyNumberFormat="1" applyFont="1"/>
    <xf numFmtId="2" fontId="4" fillId="0" borderId="0" xfId="1" applyNumberFormat="1" applyFont="1"/>
    <xf numFmtId="168" fontId="2" fillId="0" borderId="0" xfId="0" applyNumberFormat="1" applyFont="1"/>
    <xf numFmtId="1" fontId="4" fillId="0" borderId="0" xfId="1" applyNumberFormat="1" applyFont="1"/>
    <xf numFmtId="1" fontId="4" fillId="0" borderId="0" xfId="4" applyNumberFormat="1" applyFont="1"/>
    <xf numFmtId="2" fontId="12" fillId="0" borderId="0" xfId="0" applyNumberFormat="1" applyFont="1"/>
    <xf numFmtId="164" fontId="5" fillId="0" borderId="0" xfId="2" applyNumberFormat="1" applyAlignment="1" applyProtection="1"/>
    <xf numFmtId="0" fontId="2" fillId="0" borderId="0" xfId="0" applyFont="1" applyAlignment="1">
      <alignment horizontal="center"/>
    </xf>
    <xf numFmtId="167" fontId="2" fillId="0" borderId="0" xfId="0" applyNumberFormat="1" applyFont="1"/>
    <xf numFmtId="164" fontId="2" fillId="2" borderId="15" xfId="0" applyNumberFormat="1" applyFont="1" applyFill="1" applyBorder="1" applyAlignment="1">
      <alignment wrapText="1"/>
    </xf>
    <xf numFmtId="164" fontId="2" fillId="2" borderId="16" xfId="0" applyNumberFormat="1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8" xfId="0" applyFont="1" applyFill="1" applyBorder="1"/>
    <xf numFmtId="0" fontId="8" fillId="2" borderId="19" xfId="0" applyFont="1" applyFill="1" applyBorder="1" applyAlignment="1">
      <alignment horizontal="centerContinuous"/>
    </xf>
    <xf numFmtId="0" fontId="8" fillId="2" borderId="20" xfId="0" applyFont="1" applyFill="1" applyBorder="1" applyAlignment="1">
      <alignment horizontal="centerContinuous"/>
    </xf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2" borderId="2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2" fillId="2" borderId="22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2" fillId="2" borderId="28" xfId="0" applyFont="1" applyFill="1" applyBorder="1" applyAlignment="1">
      <alignment wrapText="1"/>
    </xf>
    <xf numFmtId="3" fontId="2" fillId="0" borderId="0" xfId="4" applyNumberFormat="1" applyFont="1"/>
    <xf numFmtId="1" fontId="2" fillId="0" borderId="0" xfId="0" applyNumberFormat="1" applyFont="1"/>
    <xf numFmtId="1" fontId="2" fillId="0" borderId="0" xfId="4" applyNumberFormat="1" applyFont="1"/>
    <xf numFmtId="168" fontId="2" fillId="0" borderId="0" xfId="4" applyNumberFormat="1" applyFont="1"/>
    <xf numFmtId="0" fontId="13" fillId="0" borderId="0" xfId="3" applyFont="1"/>
    <xf numFmtId="0" fontId="4" fillId="0" borderId="0" xfId="1" applyNumberFormat="1" applyFont="1" applyAlignment="1">
      <alignment horizontal="center"/>
    </xf>
    <xf numFmtId="169" fontId="4" fillId="0" borderId="0" xfId="1" applyNumberFormat="1" applyFont="1" applyAlignment="1">
      <alignment horizontal="center"/>
    </xf>
    <xf numFmtId="2" fontId="14" fillId="0" borderId="0" xfId="0" applyNumberFormat="1" applyFont="1"/>
    <xf numFmtId="17" fontId="11" fillId="0" borderId="0" xfId="0" applyNumberFormat="1" applyFont="1"/>
    <xf numFmtId="17" fontId="2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71" fontId="1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171" fontId="18" fillId="0" borderId="0" xfId="0" applyNumberFormat="1" applyFont="1" applyAlignment="1">
      <alignment horizontal="centerContinuous"/>
    </xf>
    <xf numFmtId="172" fontId="18" fillId="0" borderId="0" xfId="0" applyNumberFormat="1" applyFont="1" applyAlignment="1">
      <alignment horizontal="right"/>
    </xf>
    <xf numFmtId="171" fontId="18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right"/>
    </xf>
    <xf numFmtId="0" fontId="20" fillId="0" borderId="0" xfId="0" applyFont="1"/>
    <xf numFmtId="0" fontId="21" fillId="0" borderId="29" xfId="0" applyFont="1" applyBorder="1" applyAlignment="1">
      <alignment horizontal="right"/>
    </xf>
    <xf numFmtId="0" fontId="21" fillId="0" borderId="29" xfId="0" applyFont="1" applyBorder="1" applyAlignment="1">
      <alignment horizontal="centerContinuous"/>
    </xf>
    <xf numFmtId="0" fontId="21" fillId="0" borderId="0" xfId="0" applyFont="1" applyAlignment="1">
      <alignment horizontal="right"/>
    </xf>
    <xf numFmtId="0" fontId="21" fillId="0" borderId="30" xfId="0" applyFont="1" applyBorder="1" applyAlignment="1">
      <alignment horizontal="centerContinuous"/>
    </xf>
    <xf numFmtId="0" fontId="21" fillId="0" borderId="31" xfId="0" applyFont="1" applyBorder="1" applyAlignment="1">
      <alignment horizontal="right"/>
    </xf>
    <xf numFmtId="0" fontId="21" fillId="0" borderId="0" xfId="0" applyFont="1"/>
    <xf numFmtId="173" fontId="18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174" fontId="18" fillId="0" borderId="0" xfId="0" applyNumberFormat="1" applyFont="1"/>
    <xf numFmtId="175" fontId="18" fillId="0" borderId="0" xfId="0" applyNumberFormat="1" applyFont="1"/>
    <xf numFmtId="176" fontId="18" fillId="0" borderId="0" xfId="0" applyNumberFormat="1" applyFont="1"/>
    <xf numFmtId="177" fontId="18" fillId="0" borderId="0" xfId="0" applyNumberFormat="1" applyFont="1"/>
    <xf numFmtId="174" fontId="18" fillId="0" borderId="0" xfId="1" applyNumberFormat="1" applyFont="1"/>
    <xf numFmtId="178" fontId="18" fillId="0" borderId="0" xfId="0" applyNumberFormat="1" applyFont="1"/>
    <xf numFmtId="2" fontId="18" fillId="0" borderId="0" xfId="0" applyNumberFormat="1" applyFont="1"/>
    <xf numFmtId="0" fontId="22" fillId="0" borderId="0" xfId="0" applyFont="1" applyAlignment="1">
      <alignment horizontal="left"/>
    </xf>
    <xf numFmtId="177" fontId="18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173" fontId="8" fillId="0" borderId="0" xfId="0" applyNumberFormat="1" applyFont="1" applyAlignment="1">
      <alignment horizontal="right"/>
    </xf>
    <xf numFmtId="176" fontId="18" fillId="0" borderId="0" xfId="1" applyNumberFormat="1" applyFont="1"/>
    <xf numFmtId="2" fontId="18" fillId="0" borderId="0" xfId="0" applyNumberFormat="1" applyFont="1" applyAlignment="1">
      <alignment horizontal="center"/>
    </xf>
    <xf numFmtId="177" fontId="18" fillId="0" borderId="0" xfId="0" applyNumberFormat="1" applyFont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171" fontId="15" fillId="0" borderId="0" xfId="0" applyNumberFormat="1" applyFont="1"/>
    <xf numFmtId="0" fontId="27" fillId="0" borderId="0" xfId="0" applyFont="1"/>
    <xf numFmtId="166" fontId="27" fillId="0" borderId="0" xfId="0" applyNumberFormat="1" applyFont="1"/>
    <xf numFmtId="167" fontId="27" fillId="0" borderId="0" xfId="0" applyNumberFormat="1" applyFont="1"/>
    <xf numFmtId="0" fontId="27" fillId="0" borderId="0" xfId="0" applyFont="1" applyAlignment="1">
      <alignment wrapText="1"/>
    </xf>
    <xf numFmtId="1" fontId="27" fillId="0" borderId="0" xfId="0" applyNumberFormat="1" applyFont="1"/>
    <xf numFmtId="168" fontId="27" fillId="0" borderId="0" xfId="4" applyNumberFormat="1" applyFont="1"/>
    <xf numFmtId="2" fontId="2" fillId="0" borderId="0" xfId="3" applyNumberFormat="1" applyFont="1"/>
    <xf numFmtId="169" fontId="27" fillId="0" borderId="0" xfId="1" applyNumberFormat="1" applyFont="1"/>
    <xf numFmtId="14" fontId="27" fillId="0" borderId="0" xfId="0" applyNumberFormat="1" applyFont="1"/>
    <xf numFmtId="0" fontId="2" fillId="0" borderId="0" xfId="3" applyFont="1"/>
    <xf numFmtId="0" fontId="2" fillId="0" borderId="0" xfId="3" applyFont="1" applyAlignment="1">
      <alignment wrapText="1"/>
    </xf>
    <xf numFmtId="17" fontId="2" fillId="0" borderId="0" xfId="3" applyNumberFormat="1" applyFont="1"/>
    <xf numFmtId="165" fontId="2" fillId="0" borderId="0" xfId="3" applyNumberFormat="1" applyFont="1"/>
    <xf numFmtId="0" fontId="24" fillId="0" borderId="31" xfId="0" applyFont="1" applyBorder="1"/>
    <xf numFmtId="171" fontId="24" fillId="0" borderId="31" xfId="0" applyNumberFormat="1" applyFont="1" applyBorder="1"/>
    <xf numFmtId="0" fontId="28" fillId="0" borderId="0" xfId="0" applyFont="1"/>
    <xf numFmtId="0" fontId="7" fillId="2" borderId="32" xfId="0" applyFont="1" applyFill="1" applyBorder="1"/>
    <xf numFmtId="166" fontId="2" fillId="0" borderId="0" xfId="3" applyNumberFormat="1" applyFont="1"/>
    <xf numFmtId="1" fontId="4" fillId="0" borderId="0" xfId="1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29" fillId="0" borderId="0" xfId="3" applyNumberFormat="1" applyFont="1"/>
    <xf numFmtId="0" fontId="30" fillId="0" borderId="0" xfId="0" applyFont="1" applyAlignment="1">
      <alignment horizontal="center"/>
    </xf>
    <xf numFmtId="1" fontId="30" fillId="0" borderId="0" xfId="4" applyNumberFormat="1" applyFont="1"/>
    <xf numFmtId="168" fontId="13" fillId="0" borderId="0" xfId="0" applyNumberFormat="1" applyFont="1"/>
    <xf numFmtId="0" fontId="30" fillId="0" borderId="0" xfId="0" applyFont="1"/>
    <xf numFmtId="2" fontId="13" fillId="0" borderId="0" xfId="0" applyNumberFormat="1" applyFont="1"/>
    <xf numFmtId="43" fontId="15" fillId="0" borderId="0" xfId="0" applyNumberFormat="1" applyFont="1"/>
    <xf numFmtId="177" fontId="15" fillId="0" borderId="0" xfId="0" applyNumberFormat="1" applyFont="1"/>
    <xf numFmtId="177" fontId="20" fillId="0" borderId="0" xfId="0" applyNumberFormat="1" applyFont="1"/>
    <xf numFmtId="2" fontId="20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" fontId="8" fillId="0" borderId="0" xfId="0" applyNumberFormat="1" applyFont="1"/>
    <xf numFmtId="1" fontId="32" fillId="0" borderId="0" xfId="0" applyNumberFormat="1" applyFont="1"/>
    <xf numFmtId="0" fontId="32" fillId="0" borderId="0" xfId="0" applyFont="1" applyAlignment="1">
      <alignment horizontal="center"/>
    </xf>
    <xf numFmtId="0" fontId="33" fillId="0" borderId="0" xfId="1" applyNumberFormat="1" applyFont="1" applyAlignment="1">
      <alignment horizontal="center"/>
    </xf>
    <xf numFmtId="2" fontId="31" fillId="0" borderId="0" xfId="0" applyNumberFormat="1" applyFont="1"/>
    <xf numFmtId="0" fontId="34" fillId="0" borderId="0" xfId="1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1" applyNumberFormat="1" applyFont="1" applyAlignment="1">
      <alignment horizontal="center"/>
    </xf>
    <xf numFmtId="169" fontId="35" fillId="0" borderId="0" xfId="1" applyNumberFormat="1" applyFont="1" applyAlignment="1">
      <alignment horizontal="center"/>
    </xf>
    <xf numFmtId="1" fontId="32" fillId="0" borderId="0" xfId="4" applyNumberFormat="1" applyFont="1"/>
    <xf numFmtId="168" fontId="31" fillId="0" borderId="0" xfId="0" applyNumberFormat="1" applyFont="1"/>
    <xf numFmtId="0" fontId="33" fillId="0" borderId="0" xfId="0" applyFont="1" applyAlignment="1">
      <alignment horizontal="center"/>
    </xf>
    <xf numFmtId="2" fontId="27" fillId="0" borderId="0" xfId="0" applyNumberFormat="1" applyFont="1"/>
    <xf numFmtId="1" fontId="34" fillId="0" borderId="0" xfId="4" applyNumberFormat="1" applyFont="1"/>
    <xf numFmtId="168" fontId="36" fillId="0" borderId="0" xfId="0" applyNumberFormat="1" applyFont="1"/>
    <xf numFmtId="1" fontId="34" fillId="0" borderId="0" xfId="4" applyNumberFormat="1" applyFont="1" applyAlignment="1">
      <alignment horizontal="center"/>
    </xf>
    <xf numFmtId="10" fontId="28" fillId="0" borderId="0" xfId="4" applyNumberFormat="1" applyFont="1"/>
    <xf numFmtId="1" fontId="37" fillId="0" borderId="0" xfId="4" applyNumberFormat="1" applyFont="1"/>
    <xf numFmtId="168" fontId="38" fillId="0" borderId="0" xfId="0" applyNumberFormat="1" applyFont="1"/>
    <xf numFmtId="2" fontId="37" fillId="0" borderId="0" xfId="0" applyNumberFormat="1" applyFont="1" applyAlignment="1">
      <alignment horizontal="center"/>
    </xf>
    <xf numFmtId="1" fontId="0" fillId="0" borderId="0" xfId="0" applyNumberFormat="1"/>
    <xf numFmtId="0" fontId="1" fillId="0" borderId="0" xfId="0" applyFont="1"/>
  </cellXfs>
  <cellStyles count="5">
    <cellStyle name="Comma" xfId="1" builtinId="3"/>
    <cellStyle name="Hyperlink" xfId="2" builtinId="8"/>
    <cellStyle name="Normal" xfId="0" builtinId="0"/>
    <cellStyle name="Normal_month2qtr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5"/>
  <sheetViews>
    <sheetView topLeftCell="A7" workbookViewId="0">
      <selection activeCell="C41" sqref="C41"/>
    </sheetView>
  </sheetViews>
  <sheetFormatPr defaultRowHeight="12.75"/>
  <cols>
    <col min="1" max="1" width="11.5703125" bestFit="1" customWidth="1"/>
    <col min="2" max="2" width="8.7109375" customWidth="1"/>
    <col min="3" max="3" width="11.5703125" customWidth="1"/>
  </cols>
  <sheetData>
    <row r="1" spans="1:3">
      <c r="A1" t="s">
        <v>0</v>
      </c>
    </row>
    <row r="3" spans="1:3">
      <c r="C3" t="s">
        <v>1</v>
      </c>
    </row>
    <row r="4" spans="1:3">
      <c r="B4">
        <f>+B10-1</f>
        <v>2019</v>
      </c>
    </row>
    <row r="5" spans="1:3">
      <c r="B5" t="s">
        <v>2</v>
      </c>
      <c r="C5">
        <f>($B4-YEAR(Quarterly!$A15))*4+14</f>
        <v>102</v>
      </c>
    </row>
    <row r="6" spans="1:3">
      <c r="B6" t="s">
        <v>3</v>
      </c>
      <c r="C6">
        <f>+C5+1</f>
        <v>103</v>
      </c>
    </row>
    <row r="7" spans="1:3">
      <c r="B7" t="s">
        <v>4</v>
      </c>
      <c r="C7">
        <f>+C6+1</f>
        <v>104</v>
      </c>
    </row>
    <row r="8" spans="1:3">
      <c r="B8" t="s">
        <v>5</v>
      </c>
      <c r="C8">
        <f>+C7+1</f>
        <v>105</v>
      </c>
    </row>
    <row r="9" spans="1:3">
      <c r="C9">
        <f>+B4-1984</f>
        <v>35</v>
      </c>
    </row>
    <row r="10" spans="1:3">
      <c r="B10">
        <f>+B16-1</f>
        <v>2020</v>
      </c>
    </row>
    <row r="11" spans="1:3">
      <c r="B11" t="s">
        <v>2</v>
      </c>
      <c r="C11">
        <f>+C8+1</f>
        <v>106</v>
      </c>
    </row>
    <row r="12" spans="1:3">
      <c r="B12" t="s">
        <v>3</v>
      </c>
      <c r="C12">
        <f>+C11+1</f>
        <v>107</v>
      </c>
    </row>
    <row r="13" spans="1:3">
      <c r="B13" t="s">
        <v>4</v>
      </c>
      <c r="C13">
        <f>+C12+1</f>
        <v>108</v>
      </c>
    </row>
    <row r="14" spans="1:3">
      <c r="B14" t="s">
        <v>5</v>
      </c>
      <c r="C14">
        <f>+C13+1</f>
        <v>109</v>
      </c>
    </row>
    <row r="15" spans="1:3">
      <c r="C15">
        <f>+B10-1984</f>
        <v>36</v>
      </c>
    </row>
    <row r="16" spans="1:3">
      <c r="B16">
        <f>+B22-1</f>
        <v>2021</v>
      </c>
    </row>
    <row r="17" spans="2:3">
      <c r="B17" t="s">
        <v>2</v>
      </c>
      <c r="C17">
        <f>+C14+1</f>
        <v>110</v>
      </c>
    </row>
    <row r="18" spans="2:3">
      <c r="B18" t="s">
        <v>3</v>
      </c>
      <c r="C18">
        <f>+C17+1</f>
        <v>111</v>
      </c>
    </row>
    <row r="19" spans="2:3">
      <c r="B19" t="s">
        <v>4</v>
      </c>
      <c r="C19">
        <f>+C18+1</f>
        <v>112</v>
      </c>
    </row>
    <row r="20" spans="2:3">
      <c r="B20" t="s">
        <v>5</v>
      </c>
      <c r="C20">
        <f>+C19+1</f>
        <v>113</v>
      </c>
    </row>
    <row r="21" spans="2:3">
      <c r="C21">
        <f>+B16-1984</f>
        <v>37</v>
      </c>
    </row>
    <row r="22" spans="2:3">
      <c r="B22">
        <f>+B28-1</f>
        <v>2022</v>
      </c>
    </row>
    <row r="23" spans="2:3">
      <c r="B23" t="s">
        <v>2</v>
      </c>
      <c r="C23">
        <f>+C20+1</f>
        <v>114</v>
      </c>
    </row>
    <row r="24" spans="2:3">
      <c r="B24" t="s">
        <v>3</v>
      </c>
      <c r="C24">
        <f>+C23+1</f>
        <v>115</v>
      </c>
    </row>
    <row r="25" spans="2:3">
      <c r="B25" t="s">
        <v>4</v>
      </c>
      <c r="C25">
        <f>+C24+1</f>
        <v>116</v>
      </c>
    </row>
    <row r="26" spans="2:3">
      <c r="B26" t="s">
        <v>5</v>
      </c>
      <c r="C26">
        <f>+C25+1</f>
        <v>117</v>
      </c>
    </row>
    <row r="27" spans="2:3">
      <c r="C27">
        <f>+B22-1984</f>
        <v>38</v>
      </c>
    </row>
    <row r="28" spans="2:3">
      <c r="B28">
        <f>B34-1</f>
        <v>2023</v>
      </c>
    </row>
    <row r="29" spans="2:3">
      <c r="B29" t="s">
        <v>2</v>
      </c>
      <c r="C29">
        <f>+C26+1</f>
        <v>118</v>
      </c>
    </row>
    <row r="30" spans="2:3">
      <c r="B30" t="s">
        <v>3</v>
      </c>
      <c r="C30">
        <f>+C29+1</f>
        <v>119</v>
      </c>
    </row>
    <row r="31" spans="2:3">
      <c r="B31" t="s">
        <v>4</v>
      </c>
      <c r="C31">
        <f>+C30+1</f>
        <v>120</v>
      </c>
    </row>
    <row r="32" spans="2:3">
      <c r="B32" t="s">
        <v>5</v>
      </c>
      <c r="C32">
        <f>+C31+1</f>
        <v>121</v>
      </c>
    </row>
    <row r="33" spans="1:3">
      <c r="C33">
        <f>+B28-1984</f>
        <v>39</v>
      </c>
    </row>
    <row r="34" spans="1:3">
      <c r="A34" t="s">
        <v>6</v>
      </c>
      <c r="B34">
        <f>B40-1</f>
        <v>2024</v>
      </c>
    </row>
    <row r="35" spans="1:3">
      <c r="B35" t="s">
        <v>2</v>
      </c>
      <c r="C35">
        <f>+C32+1</f>
        <v>122</v>
      </c>
    </row>
    <row r="36" spans="1:3">
      <c r="B36" t="s">
        <v>3</v>
      </c>
      <c r="C36">
        <f>+C35+1</f>
        <v>123</v>
      </c>
    </row>
    <row r="37" spans="1:3">
      <c r="B37" t="s">
        <v>4</v>
      </c>
      <c r="C37">
        <f>+C36+1</f>
        <v>124</v>
      </c>
    </row>
    <row r="38" spans="1:3">
      <c r="B38" t="s">
        <v>5</v>
      </c>
      <c r="C38">
        <f>+C37+1</f>
        <v>125</v>
      </c>
    </row>
    <row r="39" spans="1:3">
      <c r="C39">
        <f>+B34-1984</f>
        <v>40</v>
      </c>
    </row>
    <row r="40" spans="1:3">
      <c r="B40">
        <f>Quarterly!M3+Quarterly!P3</f>
        <v>2025</v>
      </c>
    </row>
    <row r="41" spans="1:3">
      <c r="B41" t="s">
        <v>2</v>
      </c>
      <c r="C41">
        <f>+C38+1</f>
        <v>126</v>
      </c>
    </row>
    <row r="42" spans="1:3">
      <c r="B42" t="s">
        <v>3</v>
      </c>
      <c r="C42">
        <f>+C41+1</f>
        <v>127</v>
      </c>
    </row>
    <row r="43" spans="1:3">
      <c r="B43" t="s">
        <v>4</v>
      </c>
      <c r="C43">
        <f>+C42+1</f>
        <v>128</v>
      </c>
    </row>
    <row r="44" spans="1:3">
      <c r="B44" t="s">
        <v>5</v>
      </c>
      <c r="C44">
        <f>+C43+1</f>
        <v>129</v>
      </c>
    </row>
    <row r="45" spans="1:3">
      <c r="C45">
        <f>+B40-1984</f>
        <v>41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50"/>
  <sheetViews>
    <sheetView workbookViewId="0">
      <pane xSplit="1" ySplit="10" topLeftCell="B333" activePane="bottomRight" state="frozen"/>
      <selection pane="topRight" activeCell="B1" sqref="B1"/>
      <selection pane="bottomLeft" activeCell="A11" sqref="A11"/>
      <selection pane="bottomRight" activeCell="D350" sqref="D350"/>
    </sheetView>
  </sheetViews>
  <sheetFormatPr defaultColWidth="9.7109375" defaultRowHeight="12.75"/>
  <cols>
    <col min="1" max="1" width="14" style="127" customWidth="1"/>
    <col min="2" max="2" width="15" style="127" customWidth="1"/>
    <col min="3" max="3" width="13.5703125" style="127" customWidth="1"/>
    <col min="4" max="4" width="13" style="127" customWidth="1"/>
    <col min="5" max="16384" width="9.7109375" style="127"/>
  </cols>
  <sheetData>
    <row r="1" spans="1:4">
      <c r="A1" s="1" t="s">
        <v>79</v>
      </c>
    </row>
    <row r="2" spans="1:4">
      <c r="A2" s="1"/>
    </row>
    <row r="3" spans="1:4">
      <c r="A3" s="1" t="s">
        <v>7</v>
      </c>
      <c r="B3" s="1" t="s">
        <v>8</v>
      </c>
      <c r="C3" s="1" t="s">
        <v>8</v>
      </c>
      <c r="D3" s="1" t="s">
        <v>8</v>
      </c>
    </row>
    <row r="4" spans="1:4">
      <c r="A4" s="1" t="s">
        <v>9</v>
      </c>
      <c r="B4" s="1" t="s">
        <v>205</v>
      </c>
      <c r="C4" s="1" t="s">
        <v>206</v>
      </c>
      <c r="D4" s="1" t="s">
        <v>206</v>
      </c>
    </row>
    <row r="5" spans="1:4">
      <c r="A5" s="1" t="s">
        <v>10</v>
      </c>
      <c r="B5" s="127" t="s">
        <v>11</v>
      </c>
      <c r="C5" s="127" t="s">
        <v>82</v>
      </c>
      <c r="D5" s="127" t="s">
        <v>82</v>
      </c>
    </row>
    <row r="6" spans="1:4">
      <c r="A6" s="1" t="s">
        <v>12</v>
      </c>
      <c r="B6" s="127" t="s">
        <v>13</v>
      </c>
      <c r="C6" s="127" t="s">
        <v>83</v>
      </c>
      <c r="D6" s="127" t="s">
        <v>84</v>
      </c>
    </row>
    <row r="7" spans="1:4">
      <c r="A7" s="1"/>
    </row>
    <row r="8" spans="1:4">
      <c r="A8" s="1" t="s">
        <v>14</v>
      </c>
      <c r="C8" s="135">
        <v>0</v>
      </c>
      <c r="D8" s="135">
        <v>0</v>
      </c>
    </row>
    <row r="9" spans="1:4">
      <c r="A9" s="1"/>
    </row>
    <row r="10" spans="1:4" s="128" customFormat="1" ht="25.5">
      <c r="A10" s="128" t="s">
        <v>15</v>
      </c>
      <c r="B10" s="59" t="s">
        <v>16</v>
      </c>
      <c r="C10" s="59" t="s">
        <v>17</v>
      </c>
      <c r="D10" s="59" t="s">
        <v>18</v>
      </c>
    </row>
    <row r="11" spans="1:4" s="128" customFormat="1">
      <c r="A11" s="129">
        <v>35065</v>
      </c>
      <c r="B11" s="130">
        <v>64.367462536125629</v>
      </c>
      <c r="C11" s="138">
        <v>63.617999999999995</v>
      </c>
      <c r="D11" s="138" t="s">
        <v>223</v>
      </c>
    </row>
    <row r="12" spans="1:4" s="128" customFormat="1">
      <c r="A12" s="129">
        <v>35096</v>
      </c>
      <c r="B12" s="130">
        <v>62.941303711030379</v>
      </c>
      <c r="C12" s="138">
        <v>63.8</v>
      </c>
      <c r="D12" s="138" t="s">
        <v>223</v>
      </c>
    </row>
    <row r="13" spans="1:4" s="128" customFormat="1">
      <c r="A13" s="129">
        <v>35125</v>
      </c>
      <c r="B13" s="130">
        <v>61.873964483942373</v>
      </c>
      <c r="C13" s="138">
        <v>61.842500000000001</v>
      </c>
      <c r="D13" s="138" t="s">
        <v>223</v>
      </c>
    </row>
    <row r="14" spans="1:4" s="128" customFormat="1">
      <c r="A14" s="129">
        <v>35156</v>
      </c>
      <c r="B14" s="130">
        <v>59.848222521036988</v>
      </c>
      <c r="C14" s="138">
        <v>59.599166666666662</v>
      </c>
      <c r="D14" s="138" t="s">
        <v>223</v>
      </c>
    </row>
    <row r="15" spans="1:4" s="128" customFormat="1">
      <c r="A15" s="129">
        <v>35186</v>
      </c>
      <c r="B15" s="130">
        <v>59.817414283816476</v>
      </c>
      <c r="C15" s="138">
        <v>57.482916666666668</v>
      </c>
      <c r="D15" s="138" t="s">
        <v>223</v>
      </c>
    </row>
    <row r="16" spans="1:4" s="128" customFormat="1">
      <c r="A16" s="129">
        <v>35217</v>
      </c>
      <c r="B16" s="130">
        <v>61.353085158093855</v>
      </c>
      <c r="C16" s="138">
        <v>62.645416666666669</v>
      </c>
      <c r="D16" s="138" t="s">
        <v>223</v>
      </c>
    </row>
    <row r="17" spans="1:4" s="128" customFormat="1">
      <c r="A17" s="129">
        <v>35247</v>
      </c>
      <c r="B17" s="130">
        <v>63.934796521612917</v>
      </c>
      <c r="C17" s="138">
        <v>64.614999999999995</v>
      </c>
      <c r="D17" s="138" t="s">
        <v>223</v>
      </c>
    </row>
    <row r="18" spans="1:4" s="128" customFormat="1">
      <c r="A18" s="129">
        <v>35278</v>
      </c>
      <c r="B18" s="130">
        <v>67.045593336481517</v>
      </c>
      <c r="C18" s="138">
        <v>65.647500000000008</v>
      </c>
      <c r="D18" s="138" t="s">
        <v>223</v>
      </c>
    </row>
    <row r="19" spans="1:4" s="128" customFormat="1">
      <c r="A19" s="129">
        <v>35309</v>
      </c>
      <c r="B19" s="130">
        <v>70.941758428174595</v>
      </c>
      <c r="C19" s="138">
        <v>71.638750000000002</v>
      </c>
      <c r="D19" s="138" t="s">
        <v>223</v>
      </c>
    </row>
    <row r="20" spans="1:4" s="128" customFormat="1">
      <c r="A20" s="129">
        <v>35339</v>
      </c>
      <c r="B20" s="130">
        <v>70.929290550000815</v>
      </c>
      <c r="C20" s="138">
        <v>65.582499999999996</v>
      </c>
      <c r="D20" s="138" t="s">
        <v>223</v>
      </c>
    </row>
    <row r="21" spans="1:4" s="128" customFormat="1">
      <c r="A21" s="129">
        <v>35370</v>
      </c>
      <c r="B21" s="130">
        <v>70.951707244982131</v>
      </c>
      <c r="C21" s="138">
        <v>66.842083333333335</v>
      </c>
      <c r="D21" s="138" t="s">
        <v>223</v>
      </c>
    </row>
    <row r="22" spans="1:4" s="128" customFormat="1">
      <c r="A22" s="129">
        <v>35400</v>
      </c>
      <c r="B22" s="130">
        <v>66.285216162053828</v>
      </c>
      <c r="C22" s="138">
        <v>66.107500000000002</v>
      </c>
      <c r="D22" s="138" t="s">
        <v>223</v>
      </c>
    </row>
    <row r="23" spans="1:4">
      <c r="A23" s="129">
        <v>35431</v>
      </c>
      <c r="B23" s="130">
        <v>65.145950778376758</v>
      </c>
      <c r="C23" s="138">
        <v>77.032499999999999</v>
      </c>
      <c r="D23" s="138" t="s">
        <v>223</v>
      </c>
    </row>
    <row r="24" spans="1:4">
      <c r="A24" s="129">
        <v>35462</v>
      </c>
      <c r="B24" s="130">
        <v>65.385120648257853</v>
      </c>
      <c r="C24" s="138">
        <v>86.257500000000007</v>
      </c>
      <c r="D24" s="138" t="s">
        <v>223</v>
      </c>
    </row>
    <row r="25" spans="1:4">
      <c r="A25" s="129">
        <v>35490</v>
      </c>
      <c r="B25" s="130">
        <v>67.569735970654165</v>
      </c>
      <c r="C25" s="138">
        <v>91.151250000000005</v>
      </c>
      <c r="D25" s="138" t="s">
        <v>223</v>
      </c>
    </row>
    <row r="26" spans="1:4">
      <c r="A26" s="129">
        <v>35521</v>
      </c>
      <c r="B26" s="130">
        <v>67.779050910412536</v>
      </c>
      <c r="C26" s="138">
        <v>92.515000000000001</v>
      </c>
      <c r="D26" s="138" t="s">
        <v>223</v>
      </c>
    </row>
    <row r="27" spans="1:4">
      <c r="A27" s="129">
        <v>35551</v>
      </c>
      <c r="B27" s="130">
        <v>67.38432442079305</v>
      </c>
      <c r="C27" s="138">
        <v>94.634166666666658</v>
      </c>
      <c r="D27" s="138" t="s">
        <v>223</v>
      </c>
    </row>
    <row r="28" spans="1:4">
      <c r="A28" s="129">
        <v>35582</v>
      </c>
      <c r="B28" s="130">
        <v>63.634423898335008</v>
      </c>
      <c r="C28" s="138">
        <v>97.564999999999998</v>
      </c>
      <c r="D28" s="138" t="s">
        <v>223</v>
      </c>
    </row>
    <row r="29" spans="1:4">
      <c r="A29" s="129">
        <v>35612</v>
      </c>
      <c r="B29" s="130">
        <v>63.874321388074492</v>
      </c>
      <c r="C29" s="138">
        <v>104.02000000000001</v>
      </c>
      <c r="D29" s="138" t="s">
        <v>223</v>
      </c>
    </row>
    <row r="30" spans="1:4">
      <c r="A30" s="129">
        <v>35643</v>
      </c>
      <c r="B30" s="130">
        <v>65.299552369158562</v>
      </c>
      <c r="C30" s="138">
        <v>101.755</v>
      </c>
      <c r="D30" s="138" t="s">
        <v>223</v>
      </c>
    </row>
    <row r="31" spans="1:4">
      <c r="A31" s="129">
        <v>35674</v>
      </c>
      <c r="B31" s="130">
        <v>66.034565305975704</v>
      </c>
      <c r="C31" s="138">
        <v>101.03166666666667</v>
      </c>
      <c r="D31" s="138" t="s">
        <v>223</v>
      </c>
    </row>
    <row r="32" spans="1:4">
      <c r="A32" s="129">
        <v>35704</v>
      </c>
      <c r="B32" s="130">
        <v>66.855897937328308</v>
      </c>
      <c r="C32" s="138">
        <v>99.174499999999995</v>
      </c>
      <c r="D32" s="138" t="s">
        <v>223</v>
      </c>
    </row>
    <row r="33" spans="1:4">
      <c r="A33" s="129">
        <v>35735</v>
      </c>
      <c r="B33" s="130">
        <v>67.629102612321219</v>
      </c>
      <c r="C33" s="138">
        <v>93.82916666666668</v>
      </c>
      <c r="D33" s="138" t="s">
        <v>223</v>
      </c>
    </row>
    <row r="34" spans="1:4">
      <c r="A34" s="129">
        <v>35765</v>
      </c>
      <c r="B34" s="130">
        <v>65.842023721561404</v>
      </c>
      <c r="C34" s="138">
        <v>92.158333333333331</v>
      </c>
      <c r="D34" s="138" t="s">
        <v>223</v>
      </c>
    </row>
    <row r="35" spans="1:4">
      <c r="A35" s="129">
        <v>35796</v>
      </c>
      <c r="B35" s="130">
        <v>64.325811394596215</v>
      </c>
      <c r="C35" s="138">
        <v>94.465000000000003</v>
      </c>
      <c r="D35" s="138" t="s">
        <v>223</v>
      </c>
    </row>
    <row r="36" spans="1:4">
      <c r="A36" s="129">
        <v>35827</v>
      </c>
      <c r="B36" s="130">
        <v>60.662058359321513</v>
      </c>
      <c r="C36" s="138">
        <v>102.13624999999999</v>
      </c>
      <c r="D36" s="138" t="s">
        <v>223</v>
      </c>
    </row>
    <row r="37" spans="1:4">
      <c r="A37" s="129">
        <v>35855</v>
      </c>
      <c r="B37" s="130">
        <v>61.988151135027259</v>
      </c>
      <c r="C37" s="138">
        <v>101.32</v>
      </c>
      <c r="D37" s="138" t="s">
        <v>223</v>
      </c>
    </row>
    <row r="38" spans="1:4">
      <c r="A38" s="129">
        <v>35886</v>
      </c>
      <c r="B38" s="130">
        <v>64.538008888979917</v>
      </c>
      <c r="C38" s="138">
        <v>102.40525</v>
      </c>
      <c r="D38" s="138" t="s">
        <v>223</v>
      </c>
    </row>
    <row r="39" spans="1:4">
      <c r="A39" s="129">
        <v>35916</v>
      </c>
      <c r="B39" s="130">
        <v>64.496295092803706</v>
      </c>
      <c r="C39" s="138">
        <v>101.955</v>
      </c>
      <c r="D39" s="138" t="s">
        <v>223</v>
      </c>
    </row>
    <row r="40" spans="1:4">
      <c r="A40" s="129">
        <v>35947</v>
      </c>
      <c r="B40" s="130">
        <v>63.71787240200274</v>
      </c>
      <c r="C40" s="138">
        <v>91.642499999999998</v>
      </c>
      <c r="D40" s="138" t="s">
        <v>223</v>
      </c>
    </row>
    <row r="41" spans="1:4">
      <c r="A41" s="129">
        <v>35977</v>
      </c>
      <c r="B41" s="130">
        <v>60.235803270519</v>
      </c>
      <c r="C41" s="138">
        <v>85</v>
      </c>
      <c r="D41" s="138" t="s">
        <v>223</v>
      </c>
    </row>
    <row r="42" spans="1:4">
      <c r="A42" s="129">
        <v>36008</v>
      </c>
      <c r="B42" s="130">
        <v>58.85963452539653</v>
      </c>
      <c r="C42" s="138">
        <v>85.115833333333342</v>
      </c>
      <c r="D42" s="138" t="s">
        <v>223</v>
      </c>
    </row>
    <row r="43" spans="1:4">
      <c r="A43" s="129">
        <v>36039</v>
      </c>
      <c r="B43" s="130">
        <v>58.020239722768757</v>
      </c>
      <c r="C43" s="138">
        <v>76.491249999999994</v>
      </c>
      <c r="D43" s="138" t="s">
        <v>223</v>
      </c>
    </row>
    <row r="44" spans="1:4">
      <c r="A44" s="129">
        <v>36069</v>
      </c>
      <c r="B44" s="130">
        <v>61.752126471501185</v>
      </c>
      <c r="C44" s="138">
        <v>84.646666666666675</v>
      </c>
      <c r="D44" s="138" t="s">
        <v>223</v>
      </c>
    </row>
    <row r="45" spans="1:4">
      <c r="A45" s="129">
        <v>36100</v>
      </c>
      <c r="B45" s="130">
        <v>62.045660522475131</v>
      </c>
      <c r="C45" s="138">
        <v>87.860833333333332</v>
      </c>
      <c r="D45" s="138" t="s">
        <v>223</v>
      </c>
    </row>
    <row r="46" spans="1:4">
      <c r="A46" s="129">
        <v>36130</v>
      </c>
      <c r="B46" s="130">
        <v>59.614459061851079</v>
      </c>
      <c r="C46" s="138">
        <v>90.68416666666667</v>
      </c>
      <c r="D46" s="138" t="s">
        <v>223</v>
      </c>
    </row>
    <row r="47" spans="1:4">
      <c r="A47" s="129">
        <v>36161</v>
      </c>
      <c r="B47" s="130">
        <v>61.288462191697398</v>
      </c>
      <c r="C47" s="138">
        <v>95.48</v>
      </c>
      <c r="D47" s="138" t="s">
        <v>223</v>
      </c>
    </row>
    <row r="48" spans="1:4">
      <c r="A48" s="129">
        <v>36192</v>
      </c>
      <c r="B48" s="130">
        <v>62.819784430644972</v>
      </c>
      <c r="C48" s="138">
        <v>99.452500000000001</v>
      </c>
      <c r="D48" s="138" t="s">
        <v>223</v>
      </c>
    </row>
    <row r="49" spans="1:4">
      <c r="A49" s="129">
        <v>36220</v>
      </c>
      <c r="B49" s="130">
        <v>64.804024033200918</v>
      </c>
      <c r="C49" s="138">
        <v>97.24475000000001</v>
      </c>
      <c r="D49" s="138" t="s">
        <v>223</v>
      </c>
    </row>
    <row r="50" spans="1:4">
      <c r="A50" s="129">
        <v>36251</v>
      </c>
      <c r="B50" s="130">
        <v>65.315947593984362</v>
      </c>
      <c r="C50" s="138">
        <v>96.445416666666659</v>
      </c>
      <c r="D50" s="138" t="s">
        <v>223</v>
      </c>
    </row>
    <row r="51" spans="1:4">
      <c r="A51" s="129">
        <v>36281</v>
      </c>
      <c r="B51" s="130">
        <v>64.840833582162247</v>
      </c>
      <c r="C51" s="138">
        <v>94.541250000000005</v>
      </c>
      <c r="D51" s="138" t="s">
        <v>223</v>
      </c>
    </row>
    <row r="52" spans="1:4">
      <c r="A52" s="129">
        <v>36312</v>
      </c>
      <c r="B52" s="130">
        <v>65.936511179970381</v>
      </c>
      <c r="C52" s="138">
        <v>91.485833333333346</v>
      </c>
      <c r="D52" s="138" t="s">
        <v>223</v>
      </c>
    </row>
    <row r="53" spans="1:4">
      <c r="A53" s="129">
        <v>36342</v>
      </c>
      <c r="B53" s="130">
        <v>64.319170377541141</v>
      </c>
      <c r="C53" s="138">
        <v>101.96383333333333</v>
      </c>
      <c r="D53" s="138" t="s">
        <v>223</v>
      </c>
    </row>
    <row r="54" spans="1:4">
      <c r="A54" s="129">
        <v>36373</v>
      </c>
      <c r="B54" s="130">
        <v>65.205921754104153</v>
      </c>
      <c r="C54" s="138">
        <v>96.884999999999991</v>
      </c>
      <c r="D54" s="138" t="s">
        <v>223</v>
      </c>
    </row>
    <row r="55" spans="1:4">
      <c r="A55" s="129">
        <v>36404</v>
      </c>
      <c r="B55" s="130">
        <v>65.941022436740496</v>
      </c>
      <c r="C55" s="138">
        <v>94.888000000000005</v>
      </c>
      <c r="D55" s="138" t="s">
        <v>223</v>
      </c>
    </row>
    <row r="56" spans="1:4">
      <c r="A56" s="129">
        <v>36434</v>
      </c>
      <c r="B56" s="130">
        <v>69.465610851636072</v>
      </c>
      <c r="C56" s="138">
        <v>99.34375</v>
      </c>
      <c r="D56" s="138" t="s">
        <v>223</v>
      </c>
    </row>
    <row r="57" spans="1:4">
      <c r="A57" s="129">
        <v>36465</v>
      </c>
      <c r="B57" s="130">
        <v>70.163531340197466</v>
      </c>
      <c r="C57" s="138">
        <v>104.23625000000001</v>
      </c>
      <c r="D57" s="138" t="s">
        <v>223</v>
      </c>
    </row>
    <row r="58" spans="1:4">
      <c r="A58" s="129">
        <v>36495</v>
      </c>
      <c r="B58" s="130">
        <v>68.982068358184236</v>
      </c>
      <c r="C58" s="138">
        <v>111.929</v>
      </c>
      <c r="D58" s="138" t="s">
        <v>223</v>
      </c>
    </row>
    <row r="59" spans="1:4">
      <c r="A59" s="129">
        <v>36526</v>
      </c>
      <c r="B59" s="130">
        <v>68.622660789563639</v>
      </c>
      <c r="C59" s="124">
        <v>87.63</v>
      </c>
      <c r="D59" s="124">
        <v>98.16</v>
      </c>
    </row>
    <row r="60" spans="1:4">
      <c r="A60" s="129">
        <v>36557</v>
      </c>
      <c r="B60" s="130">
        <v>68.696402114912104</v>
      </c>
      <c r="C60" s="124">
        <v>85.25</v>
      </c>
      <c r="D60" s="124">
        <v>100.03</v>
      </c>
    </row>
    <row r="61" spans="1:4">
      <c r="A61" s="129">
        <v>36586</v>
      </c>
      <c r="B61" s="130">
        <v>71.676959032544872</v>
      </c>
      <c r="C61" s="124">
        <v>85.19</v>
      </c>
      <c r="D61" s="124">
        <v>103.16</v>
      </c>
    </row>
    <row r="62" spans="1:4">
      <c r="A62" s="129">
        <v>36617</v>
      </c>
      <c r="B62" s="130">
        <v>73.253763440176911</v>
      </c>
      <c r="C62" s="124">
        <v>86.65</v>
      </c>
      <c r="D62" s="124">
        <v>102.98</v>
      </c>
    </row>
    <row r="63" spans="1:4">
      <c r="A63" s="129">
        <v>36647</v>
      </c>
      <c r="B63" s="130">
        <v>71.38758954319745</v>
      </c>
      <c r="C63" s="124">
        <v>84.89</v>
      </c>
      <c r="D63" s="124">
        <v>97.91</v>
      </c>
    </row>
    <row r="64" spans="1:4">
      <c r="A64" s="129">
        <v>36678</v>
      </c>
      <c r="B64" s="130">
        <v>69.478889013219941</v>
      </c>
      <c r="C64" s="124">
        <v>87.99</v>
      </c>
      <c r="D64" s="124">
        <v>97.37</v>
      </c>
    </row>
    <row r="65" spans="1:4">
      <c r="A65" s="129">
        <v>36708</v>
      </c>
      <c r="B65" s="130">
        <v>67.084069148582003</v>
      </c>
      <c r="C65" s="124">
        <v>89.97</v>
      </c>
      <c r="D65" s="124">
        <v>105.16</v>
      </c>
    </row>
    <row r="66" spans="1:4">
      <c r="A66" s="129">
        <v>36739</v>
      </c>
      <c r="B66" s="130">
        <v>64.977117666179097</v>
      </c>
      <c r="C66" s="124">
        <v>87.18</v>
      </c>
      <c r="D66" s="124">
        <v>99.3</v>
      </c>
    </row>
    <row r="67" spans="1:4">
      <c r="A67" s="129">
        <v>36770</v>
      </c>
      <c r="B67" s="130">
        <v>65.937776711031631</v>
      </c>
      <c r="C67" s="124">
        <v>85.97</v>
      </c>
      <c r="D67" s="124">
        <v>94.85</v>
      </c>
    </row>
    <row r="68" spans="1:4">
      <c r="A68" s="129">
        <v>36800</v>
      </c>
      <c r="B68" s="130">
        <v>69.465610851636072</v>
      </c>
      <c r="C68" s="124">
        <v>87.31</v>
      </c>
      <c r="D68" s="124">
        <v>94.82</v>
      </c>
    </row>
    <row r="69" spans="1:4">
      <c r="A69" s="129">
        <v>36831</v>
      </c>
      <c r="B69" s="130">
        <v>70.163531340197466</v>
      </c>
      <c r="C69" s="124">
        <v>89.38</v>
      </c>
      <c r="D69" s="124">
        <v>98.81</v>
      </c>
    </row>
    <row r="70" spans="1:4">
      <c r="A70" s="129">
        <v>36861</v>
      </c>
      <c r="B70" s="130">
        <v>68.982068358184236</v>
      </c>
      <c r="C70" s="124">
        <v>90.69</v>
      </c>
      <c r="D70" s="124">
        <v>99.65</v>
      </c>
    </row>
    <row r="71" spans="1:4">
      <c r="A71" s="129">
        <v>36892</v>
      </c>
      <c r="B71" s="130">
        <v>78.556372943231665</v>
      </c>
      <c r="C71" s="124">
        <v>87.81</v>
      </c>
      <c r="D71" s="124">
        <v>101.32</v>
      </c>
    </row>
    <row r="72" spans="1:4">
      <c r="A72" s="129">
        <v>36923</v>
      </c>
      <c r="B72" s="130">
        <v>79.453085644670054</v>
      </c>
      <c r="C72" s="124">
        <v>87.08</v>
      </c>
      <c r="D72" s="124">
        <v>102.52</v>
      </c>
    </row>
    <row r="73" spans="1:4">
      <c r="A73" s="129">
        <v>36951</v>
      </c>
      <c r="B73" s="130">
        <v>79.499477188424549</v>
      </c>
      <c r="C73" s="124">
        <v>87.61</v>
      </c>
      <c r="D73" s="124">
        <v>107.18</v>
      </c>
    </row>
    <row r="74" spans="1:4">
      <c r="A74" s="129">
        <v>36982</v>
      </c>
      <c r="B74" s="130">
        <v>78.016418357534207</v>
      </c>
      <c r="C74" s="124">
        <v>90.44</v>
      </c>
      <c r="D74" s="124">
        <v>107.23</v>
      </c>
    </row>
    <row r="75" spans="1:4">
      <c r="A75" s="129">
        <v>37012</v>
      </c>
      <c r="B75" s="130">
        <v>75.239895897659608</v>
      </c>
      <c r="C75" s="124">
        <v>90.14</v>
      </c>
      <c r="D75" s="124">
        <v>102.69</v>
      </c>
    </row>
    <row r="76" spans="1:4">
      <c r="A76" s="129">
        <v>37043</v>
      </c>
      <c r="B76" s="130">
        <v>74.203821935910142</v>
      </c>
      <c r="C76" s="124">
        <v>93.14</v>
      </c>
      <c r="D76" s="124">
        <v>103.24</v>
      </c>
    </row>
    <row r="77" spans="1:4">
      <c r="A77" s="129">
        <v>37073</v>
      </c>
      <c r="B77" s="130">
        <v>71.146768608349632</v>
      </c>
      <c r="C77" s="124">
        <v>91.72</v>
      </c>
      <c r="D77" s="124">
        <v>102.56</v>
      </c>
    </row>
    <row r="78" spans="1:4">
      <c r="A78" s="129">
        <v>37104</v>
      </c>
      <c r="B78" s="130">
        <v>69.911048362612789</v>
      </c>
      <c r="C78" s="124">
        <v>91.18</v>
      </c>
      <c r="D78" s="124">
        <v>99.77</v>
      </c>
    </row>
    <row r="79" spans="1:4">
      <c r="A79" s="129">
        <v>37135</v>
      </c>
      <c r="B79" s="130">
        <v>68.619126003335197</v>
      </c>
      <c r="C79" s="124">
        <v>91.49</v>
      </c>
      <c r="D79" s="124">
        <v>99.01</v>
      </c>
    </row>
    <row r="80" spans="1:4">
      <c r="A80" s="129">
        <v>37165</v>
      </c>
      <c r="B80" s="130">
        <v>66.457482782763662</v>
      </c>
      <c r="C80" s="124">
        <v>89.26</v>
      </c>
      <c r="D80" s="124">
        <v>94.43</v>
      </c>
    </row>
    <row r="81" spans="1:4">
      <c r="A81" s="129">
        <v>37196</v>
      </c>
      <c r="B81" s="130">
        <v>63.845823466823632</v>
      </c>
      <c r="C81" s="124">
        <v>84.6</v>
      </c>
      <c r="D81" s="124">
        <v>94.46</v>
      </c>
    </row>
    <row r="82" spans="1:4">
      <c r="A82" s="129">
        <v>37226</v>
      </c>
      <c r="B82" s="130">
        <v>63.882209166745078</v>
      </c>
      <c r="C82" s="124">
        <v>84.69</v>
      </c>
      <c r="D82" s="124">
        <v>95.77</v>
      </c>
    </row>
    <row r="83" spans="1:4">
      <c r="A83" s="129">
        <v>37257</v>
      </c>
      <c r="B83" s="130">
        <v>67.059527025907087</v>
      </c>
      <c r="C83" s="124">
        <v>83.09</v>
      </c>
      <c r="D83" s="124">
        <v>97.7</v>
      </c>
    </row>
    <row r="84" spans="1:4">
      <c r="A84" s="129">
        <v>37288</v>
      </c>
      <c r="B84" s="130">
        <v>71.199062131974088</v>
      </c>
      <c r="C84" s="124">
        <v>83.4</v>
      </c>
      <c r="D84" s="124">
        <v>99.7</v>
      </c>
    </row>
    <row r="85" spans="1:4">
      <c r="A85" s="129">
        <v>37316</v>
      </c>
      <c r="B85" s="130">
        <v>72.096687232974645</v>
      </c>
      <c r="C85" s="124">
        <v>81.569999999999993</v>
      </c>
      <c r="D85" s="124">
        <v>99</v>
      </c>
    </row>
    <row r="86" spans="1:4">
      <c r="A86" s="129">
        <v>37347</v>
      </c>
      <c r="B86" s="130">
        <v>67.552530837855883</v>
      </c>
      <c r="C86" s="124">
        <v>77.88</v>
      </c>
      <c r="D86" s="124">
        <v>95.25</v>
      </c>
    </row>
    <row r="87" spans="1:4">
      <c r="A87" s="129">
        <v>37377</v>
      </c>
      <c r="B87" s="130">
        <v>65.656071239364408</v>
      </c>
      <c r="C87" s="124">
        <v>78.03</v>
      </c>
      <c r="D87" s="124">
        <v>92.71</v>
      </c>
    </row>
    <row r="88" spans="1:4">
      <c r="A88" s="129">
        <v>37408</v>
      </c>
      <c r="B88" s="130">
        <v>63.836305370768478</v>
      </c>
      <c r="C88" s="124">
        <v>77.73</v>
      </c>
      <c r="D88" s="124">
        <v>87.63</v>
      </c>
    </row>
    <row r="89" spans="1:4">
      <c r="A89" s="129">
        <v>37438</v>
      </c>
      <c r="B89" s="130">
        <v>63.130838853423185</v>
      </c>
      <c r="C89" s="124">
        <v>79.209999999999994</v>
      </c>
      <c r="D89" s="124">
        <v>84.87</v>
      </c>
    </row>
    <row r="90" spans="1:4">
      <c r="A90" s="129">
        <v>37469</v>
      </c>
      <c r="B90" s="130">
        <v>63.228248611472289</v>
      </c>
      <c r="C90" s="124">
        <v>80.67</v>
      </c>
      <c r="D90" s="124">
        <v>86.84</v>
      </c>
    </row>
    <row r="91" spans="1:4">
      <c r="A91" s="129">
        <v>37500</v>
      </c>
      <c r="B91" s="130">
        <v>65.189831237898773</v>
      </c>
      <c r="C91" s="124">
        <v>81.010000000000005</v>
      </c>
      <c r="D91" s="124">
        <v>86.9</v>
      </c>
    </row>
    <row r="92" spans="1:4">
      <c r="A92" s="129">
        <v>37530</v>
      </c>
      <c r="B92" s="130">
        <v>65.35174057752738</v>
      </c>
      <c r="C92" s="124">
        <v>81.900000000000006</v>
      </c>
      <c r="D92" s="124">
        <v>86.23</v>
      </c>
    </row>
    <row r="93" spans="1:4">
      <c r="A93" s="129">
        <v>37561</v>
      </c>
      <c r="B93" s="130">
        <v>70.152539083764623</v>
      </c>
      <c r="C93" s="124">
        <v>83.56</v>
      </c>
      <c r="D93" s="124">
        <v>90.31</v>
      </c>
    </row>
    <row r="94" spans="1:4">
      <c r="A94" s="129">
        <v>37591</v>
      </c>
      <c r="B94" s="130">
        <v>72.78277911476161</v>
      </c>
      <c r="C94" s="124">
        <v>85.87</v>
      </c>
      <c r="D94" s="124">
        <v>91.99</v>
      </c>
    </row>
    <row r="95" spans="1:4">
      <c r="A95" s="129">
        <v>37622</v>
      </c>
      <c r="B95" s="130">
        <v>77.822228371676985</v>
      </c>
      <c r="C95" s="124">
        <v>81.569999999999993</v>
      </c>
      <c r="D95" s="124">
        <v>92.94</v>
      </c>
    </row>
    <row r="96" spans="1:4">
      <c r="A96" s="129">
        <v>37653</v>
      </c>
      <c r="B96" s="130">
        <v>79.935460845185531</v>
      </c>
      <c r="C96" s="124">
        <v>78.09</v>
      </c>
      <c r="D96" s="124">
        <v>93.02</v>
      </c>
    </row>
    <row r="97" spans="1:4">
      <c r="A97" s="129">
        <v>37681</v>
      </c>
      <c r="B97" s="130">
        <v>77.398509638067722</v>
      </c>
      <c r="C97" s="124">
        <v>77.900000000000006</v>
      </c>
      <c r="D97" s="124">
        <v>94.83</v>
      </c>
    </row>
    <row r="98" spans="1:4">
      <c r="A98" s="129">
        <v>37712</v>
      </c>
      <c r="B98" s="130">
        <v>79.110203077055118</v>
      </c>
      <c r="C98" s="124">
        <v>81.459999999999994</v>
      </c>
      <c r="D98" s="124">
        <v>96.57</v>
      </c>
    </row>
    <row r="99" spans="1:4">
      <c r="A99" s="129">
        <v>37742</v>
      </c>
      <c r="B99" s="130">
        <v>79.091131240333041</v>
      </c>
      <c r="C99" s="124">
        <v>84.81</v>
      </c>
      <c r="D99" s="124">
        <v>97.97</v>
      </c>
    </row>
    <row r="100" spans="1:4">
      <c r="A100" s="129">
        <v>37773</v>
      </c>
      <c r="B100" s="130">
        <v>76.554097392768711</v>
      </c>
      <c r="C100" s="124">
        <v>87.26</v>
      </c>
      <c r="D100" s="124">
        <v>97.03</v>
      </c>
    </row>
    <row r="101" spans="1:4">
      <c r="A101" s="129">
        <v>37803</v>
      </c>
      <c r="B101" s="130">
        <v>75.941227201792756</v>
      </c>
      <c r="C101" s="124">
        <v>91.65</v>
      </c>
      <c r="D101" s="124">
        <v>100.93</v>
      </c>
    </row>
    <row r="102" spans="1:4">
      <c r="A102" s="129">
        <v>37834</v>
      </c>
      <c r="B102" s="130">
        <v>80.29829667316811</v>
      </c>
      <c r="C102" s="124">
        <v>95.35</v>
      </c>
      <c r="D102" s="124">
        <v>102.13</v>
      </c>
    </row>
    <row r="103" spans="1:4">
      <c r="A103" s="129">
        <v>37865</v>
      </c>
      <c r="B103" s="130">
        <v>88.078141900688109</v>
      </c>
      <c r="C103" s="124">
        <v>102.01</v>
      </c>
      <c r="D103" s="124">
        <v>106.96</v>
      </c>
    </row>
    <row r="104" spans="1:4">
      <c r="A104" s="129">
        <v>37895</v>
      </c>
      <c r="B104" s="130">
        <v>99.500496666318526</v>
      </c>
      <c r="C104" s="124">
        <v>104.51</v>
      </c>
      <c r="D104" s="124">
        <v>107.78</v>
      </c>
    </row>
    <row r="105" spans="1:4">
      <c r="A105" s="129">
        <v>37926</v>
      </c>
      <c r="B105" s="130">
        <v>100.91133343414486</v>
      </c>
      <c r="C105" s="124">
        <v>104.15</v>
      </c>
      <c r="D105" s="124">
        <v>109.35</v>
      </c>
    </row>
    <row r="106" spans="1:4">
      <c r="A106" s="129">
        <v>37956</v>
      </c>
      <c r="B106" s="130">
        <v>91.970788069183783</v>
      </c>
      <c r="C106" s="124">
        <v>101.45</v>
      </c>
      <c r="D106" s="124">
        <v>109.92</v>
      </c>
    </row>
    <row r="107" spans="1:4">
      <c r="A107" s="129">
        <v>37987</v>
      </c>
      <c r="B107" s="130">
        <v>80.445971483239504</v>
      </c>
      <c r="C107" s="124">
        <v>89.24</v>
      </c>
      <c r="D107" s="124">
        <v>105.38</v>
      </c>
    </row>
    <row r="108" spans="1:4">
      <c r="A108" s="129">
        <v>38018</v>
      </c>
      <c r="B108" s="130">
        <v>78.827694140705177</v>
      </c>
      <c r="C108" s="124">
        <v>87.98</v>
      </c>
      <c r="D108" s="124">
        <v>105.8</v>
      </c>
    </row>
    <row r="109" spans="1:4">
      <c r="A109" s="129">
        <v>38047</v>
      </c>
      <c r="B109" s="130">
        <v>85.686216677562285</v>
      </c>
      <c r="C109" s="124">
        <v>92.87</v>
      </c>
      <c r="D109" s="124">
        <v>113.71</v>
      </c>
    </row>
    <row r="110" spans="1:4">
      <c r="A110" s="129">
        <v>38078</v>
      </c>
      <c r="B110" s="130">
        <v>85.961377552181091</v>
      </c>
      <c r="C110" s="124">
        <v>98.17</v>
      </c>
      <c r="D110" s="124">
        <v>114.54</v>
      </c>
    </row>
    <row r="111" spans="1:4">
      <c r="A111" s="129">
        <v>38108</v>
      </c>
      <c r="B111" s="130">
        <v>87.68832739692283</v>
      </c>
      <c r="C111" s="124">
        <v>106.96</v>
      </c>
      <c r="D111" s="124">
        <v>119.55</v>
      </c>
    </row>
    <row r="112" spans="1:4">
      <c r="A112" s="129">
        <v>38139</v>
      </c>
      <c r="B112" s="130">
        <v>89.137717636119746</v>
      </c>
      <c r="C112" s="124">
        <v>114.58</v>
      </c>
      <c r="D112" s="124">
        <v>125.4</v>
      </c>
    </row>
    <row r="113" spans="1:4">
      <c r="A113" s="129">
        <v>38169</v>
      </c>
      <c r="B113" s="130">
        <v>84.531575080657191</v>
      </c>
      <c r="C113" s="124">
        <v>119.27</v>
      </c>
      <c r="D113" s="124">
        <v>129.22</v>
      </c>
    </row>
    <row r="114" spans="1:4">
      <c r="A114" s="129">
        <v>38200</v>
      </c>
      <c r="B114" s="130">
        <v>84.172386994939075</v>
      </c>
      <c r="C114" s="124">
        <v>119.26</v>
      </c>
      <c r="D114" s="124">
        <v>130.5</v>
      </c>
    </row>
    <row r="115" spans="1:4">
      <c r="A115" s="129">
        <v>38231</v>
      </c>
      <c r="B115" s="130">
        <v>82.461372244115466</v>
      </c>
      <c r="C115" s="124">
        <v>115.76</v>
      </c>
      <c r="D115" s="124">
        <v>124.16</v>
      </c>
    </row>
    <row r="116" spans="1:4">
      <c r="A116" s="129">
        <v>38261</v>
      </c>
      <c r="B116" s="130">
        <v>84.73216858721274</v>
      </c>
      <c r="C116" s="124">
        <v>114.27</v>
      </c>
      <c r="D116" s="124">
        <v>123.82</v>
      </c>
    </row>
    <row r="117" spans="1:4">
      <c r="A117" s="129">
        <v>38292</v>
      </c>
      <c r="B117" s="130">
        <v>85.967915942377559</v>
      </c>
      <c r="C117" s="124">
        <v>109.3</v>
      </c>
      <c r="D117" s="124">
        <v>122.78</v>
      </c>
    </row>
    <row r="118" spans="1:4">
      <c r="A118" s="129">
        <v>38322</v>
      </c>
      <c r="B118" s="130">
        <v>87.236466644524583</v>
      </c>
      <c r="C118" s="124">
        <v>106.2</v>
      </c>
      <c r="D118" s="124">
        <v>121.23</v>
      </c>
    </row>
    <row r="119" spans="1:4">
      <c r="A119" s="129">
        <v>38353</v>
      </c>
      <c r="B119" s="130">
        <v>89.465474571480826</v>
      </c>
      <c r="C119" s="124">
        <v>105.28</v>
      </c>
      <c r="D119" s="124">
        <v>120.76</v>
      </c>
    </row>
    <row r="120" spans="1:4">
      <c r="A120" s="129">
        <v>38384</v>
      </c>
      <c r="B120" s="130">
        <v>88.573347775431429</v>
      </c>
      <c r="C120" s="124">
        <v>103.43</v>
      </c>
      <c r="D120" s="124">
        <v>124.29</v>
      </c>
    </row>
    <row r="121" spans="1:4">
      <c r="A121" s="129">
        <v>38412</v>
      </c>
      <c r="B121" s="130">
        <v>91.055239954359877</v>
      </c>
      <c r="C121" s="124">
        <v>108.44</v>
      </c>
      <c r="D121" s="124">
        <v>132.77000000000001</v>
      </c>
    </row>
    <row r="122" spans="1:4">
      <c r="A122" s="129">
        <v>38443</v>
      </c>
      <c r="B122" s="130">
        <v>92.106891765832231</v>
      </c>
      <c r="C122" s="124">
        <v>114.15</v>
      </c>
      <c r="D122" s="124">
        <v>135</v>
      </c>
    </row>
    <row r="123" spans="1:4">
      <c r="A123" s="129">
        <v>38473</v>
      </c>
      <c r="B123" s="130">
        <v>89.290546881341157</v>
      </c>
      <c r="C123" s="124">
        <v>115.31</v>
      </c>
      <c r="D123" s="124">
        <v>135.88</v>
      </c>
    </row>
    <row r="124" spans="1:4">
      <c r="A124" s="129">
        <v>38504</v>
      </c>
      <c r="B124" s="130">
        <v>84.058544808006047</v>
      </c>
      <c r="C124" s="124">
        <v>115.24</v>
      </c>
      <c r="D124" s="124">
        <v>131.80000000000001</v>
      </c>
    </row>
    <row r="125" spans="1:4">
      <c r="A125" s="129">
        <v>38534</v>
      </c>
      <c r="B125" s="130">
        <v>80.329376409109173</v>
      </c>
      <c r="C125" s="124">
        <v>112.86</v>
      </c>
      <c r="D125" s="124">
        <v>126.74</v>
      </c>
    </row>
    <row r="126" spans="1:4">
      <c r="A126" s="129">
        <v>38565</v>
      </c>
      <c r="B126" s="130">
        <v>80.758733443708593</v>
      </c>
      <c r="C126" s="124">
        <v>114.32</v>
      </c>
      <c r="D126" s="124">
        <v>126.74</v>
      </c>
    </row>
    <row r="127" spans="1:4">
      <c r="A127" s="129">
        <v>38596</v>
      </c>
      <c r="B127" s="130">
        <v>84.917896615944201</v>
      </c>
      <c r="C127" s="124">
        <v>116.42</v>
      </c>
      <c r="D127" s="124">
        <v>129.09</v>
      </c>
    </row>
    <row r="128" spans="1:4">
      <c r="A128" s="129">
        <v>38626</v>
      </c>
      <c r="B128" s="130">
        <v>87.944438824621415</v>
      </c>
      <c r="C128" s="124">
        <v>116.05</v>
      </c>
      <c r="D128" s="124">
        <v>127.32</v>
      </c>
    </row>
    <row r="129" spans="1:4">
      <c r="A129" s="129">
        <v>38657</v>
      </c>
      <c r="B129" s="130">
        <v>90.492248488799817</v>
      </c>
      <c r="C129" s="124">
        <v>116.53</v>
      </c>
      <c r="D129" s="124">
        <v>130.72</v>
      </c>
    </row>
    <row r="130" spans="1:4">
      <c r="A130" s="129">
        <v>38687</v>
      </c>
      <c r="B130" s="130">
        <v>93.409479985704067</v>
      </c>
      <c r="C130" s="124">
        <v>114.98</v>
      </c>
      <c r="D130" s="124">
        <v>129.9</v>
      </c>
    </row>
    <row r="131" spans="1:4">
      <c r="A131" s="129">
        <v>38718</v>
      </c>
      <c r="B131" s="130">
        <v>94.449569120040337</v>
      </c>
      <c r="C131" s="124">
        <v>113.59</v>
      </c>
      <c r="D131" s="124">
        <v>133.41</v>
      </c>
    </row>
    <row r="132" spans="1:4">
      <c r="A132" s="129">
        <v>38749</v>
      </c>
      <c r="B132" s="130">
        <v>89.736519357360564</v>
      </c>
      <c r="C132" s="124">
        <v>109.48</v>
      </c>
      <c r="D132" s="124">
        <v>135.79</v>
      </c>
    </row>
    <row r="133" spans="1:4">
      <c r="A133" s="129">
        <v>38777</v>
      </c>
      <c r="B133" s="130">
        <v>86.006192156425641</v>
      </c>
      <c r="C133" s="124">
        <v>105.72</v>
      </c>
      <c r="D133" s="124">
        <v>131.97</v>
      </c>
    </row>
    <row r="134" spans="1:4">
      <c r="A134" s="129">
        <v>38808</v>
      </c>
      <c r="B134" s="130">
        <v>81.925478942803025</v>
      </c>
      <c r="C134" s="124">
        <v>103.92</v>
      </c>
      <c r="D134" s="124">
        <v>128.72</v>
      </c>
    </row>
    <row r="135" spans="1:4">
      <c r="A135" s="129">
        <v>38838</v>
      </c>
      <c r="B135" s="130">
        <v>79.073506072710174</v>
      </c>
      <c r="C135" s="124">
        <v>105.55</v>
      </c>
      <c r="D135" s="124">
        <v>124.9</v>
      </c>
    </row>
    <row r="136" spans="1:4">
      <c r="A136" s="129">
        <v>38869</v>
      </c>
      <c r="B136" s="130">
        <v>82.346442291212682</v>
      </c>
      <c r="C136" s="124">
        <v>113.15</v>
      </c>
      <c r="D136" s="124">
        <v>126.25</v>
      </c>
    </row>
    <row r="137" spans="1:4">
      <c r="A137" s="129">
        <v>38899</v>
      </c>
      <c r="B137" s="130">
        <v>81.168570912471509</v>
      </c>
      <c r="C137" s="124">
        <v>116.6</v>
      </c>
      <c r="D137" s="124">
        <v>128.52000000000001</v>
      </c>
    </row>
    <row r="138" spans="1:4">
      <c r="A138" s="129">
        <v>38930</v>
      </c>
      <c r="B138" s="130">
        <v>84.879866442179676</v>
      </c>
      <c r="C138" s="124">
        <v>117.35</v>
      </c>
      <c r="D138" s="124">
        <v>128.47999999999999</v>
      </c>
    </row>
    <row r="139" spans="1:4">
      <c r="A139" s="129">
        <v>38961</v>
      </c>
      <c r="B139" s="130">
        <v>89.963451249678556</v>
      </c>
      <c r="C139" s="124">
        <v>119.16</v>
      </c>
      <c r="D139" s="124">
        <v>128.77000000000001</v>
      </c>
    </row>
    <row r="140" spans="1:4">
      <c r="A140" s="129">
        <v>38991</v>
      </c>
      <c r="B140" s="130">
        <v>88.533166754750795</v>
      </c>
      <c r="C140" s="124">
        <v>110.45</v>
      </c>
      <c r="D140" s="124">
        <v>120.96</v>
      </c>
    </row>
    <row r="141" spans="1:4">
      <c r="A141" s="129">
        <v>39022</v>
      </c>
      <c r="B141" s="130">
        <v>87.06439065965661</v>
      </c>
      <c r="C141" s="124">
        <v>102.56</v>
      </c>
      <c r="D141" s="124">
        <v>113.73</v>
      </c>
    </row>
    <row r="142" spans="1:4">
      <c r="A142" s="129">
        <v>39052</v>
      </c>
      <c r="B142" s="130">
        <v>86.156196196065636</v>
      </c>
      <c r="C142" s="124">
        <v>102.13</v>
      </c>
      <c r="D142" s="124">
        <v>113.14</v>
      </c>
    </row>
    <row r="143" spans="1:4">
      <c r="A143" s="129">
        <v>39083</v>
      </c>
      <c r="B143" s="130">
        <v>87.287545031114703</v>
      </c>
      <c r="C143" s="124">
        <v>96.38</v>
      </c>
      <c r="D143" s="124">
        <v>111.55</v>
      </c>
    </row>
    <row r="144" spans="1:4">
      <c r="A144" s="129">
        <v>39114</v>
      </c>
      <c r="B144" s="130">
        <v>89.874087462055812</v>
      </c>
      <c r="C144" s="124">
        <v>99.5</v>
      </c>
      <c r="D144" s="124">
        <v>118.78</v>
      </c>
    </row>
    <row r="145" spans="1:4">
      <c r="A145" s="129">
        <v>39142</v>
      </c>
      <c r="B145" s="130">
        <v>96.552760728059255</v>
      </c>
      <c r="C145" s="124">
        <v>106</v>
      </c>
      <c r="D145" s="124">
        <v>127.13</v>
      </c>
    </row>
    <row r="146" spans="1:4">
      <c r="A146" s="129">
        <v>39173</v>
      </c>
      <c r="B146" s="130">
        <v>97.760866901965315</v>
      </c>
      <c r="C146" s="124">
        <v>109.96</v>
      </c>
      <c r="D146" s="124">
        <v>128.30000000000001</v>
      </c>
    </row>
    <row r="147" spans="1:4">
      <c r="A147" s="129">
        <v>39203</v>
      </c>
      <c r="B147" s="130">
        <v>96.269018576961457</v>
      </c>
      <c r="C147" s="124">
        <v>110.86</v>
      </c>
      <c r="D147" s="124">
        <v>124.02</v>
      </c>
    </row>
    <row r="148" spans="1:4">
      <c r="A148" s="129">
        <v>39234</v>
      </c>
      <c r="B148" s="130">
        <v>89.378577683752738</v>
      </c>
      <c r="C148" s="124">
        <v>109.61</v>
      </c>
      <c r="D148" s="124">
        <v>120.7</v>
      </c>
    </row>
    <row r="149" spans="1:4">
      <c r="A149" s="129">
        <v>39264</v>
      </c>
      <c r="B149" s="130">
        <v>89.940482298881875</v>
      </c>
      <c r="C149" s="124">
        <v>115.67</v>
      </c>
      <c r="D149" s="124">
        <v>126.92</v>
      </c>
    </row>
    <row r="150" spans="1:4">
      <c r="A150" s="129">
        <v>39295</v>
      </c>
      <c r="B150" s="130">
        <v>92.078652202885536</v>
      </c>
      <c r="C150" s="124">
        <v>118.15</v>
      </c>
      <c r="D150" s="124">
        <v>127.38</v>
      </c>
    </row>
    <row r="151" spans="1:4">
      <c r="A151" s="129">
        <v>39326</v>
      </c>
      <c r="B151" s="130">
        <v>94.153644786201554</v>
      </c>
      <c r="C151" s="124">
        <v>118.81</v>
      </c>
      <c r="D151" s="124">
        <v>125.2</v>
      </c>
    </row>
    <row r="152" spans="1:4">
      <c r="A152" s="129">
        <v>39356</v>
      </c>
      <c r="B152" s="130">
        <v>92.237597653008436</v>
      </c>
      <c r="C152" s="124">
        <v>113.88</v>
      </c>
      <c r="D152" s="124">
        <v>119.57</v>
      </c>
    </row>
    <row r="153" spans="1:4">
      <c r="A153" s="129">
        <v>39387</v>
      </c>
      <c r="B153" s="130">
        <v>93.446896802015274</v>
      </c>
      <c r="C153" s="124">
        <v>110.08</v>
      </c>
      <c r="D153" s="124">
        <v>118.91</v>
      </c>
    </row>
    <row r="154" spans="1:4">
      <c r="A154" s="129">
        <v>39417</v>
      </c>
      <c r="B154" s="130">
        <v>92.316844287909163</v>
      </c>
      <c r="C154" s="124">
        <v>105.38</v>
      </c>
      <c r="D154" s="124">
        <v>115.15</v>
      </c>
    </row>
    <row r="155" spans="1:4">
      <c r="A155" s="129">
        <v>39448</v>
      </c>
      <c r="B155" s="130">
        <v>91.792829285156415</v>
      </c>
      <c r="C155" s="124">
        <v>99.32</v>
      </c>
      <c r="D155" s="124">
        <v>114.69</v>
      </c>
    </row>
    <row r="156" spans="1:4">
      <c r="A156" s="129">
        <v>39479</v>
      </c>
      <c r="B156" s="130">
        <v>91.443485565064705</v>
      </c>
      <c r="C156" s="124">
        <v>104.51</v>
      </c>
      <c r="D156" s="124">
        <v>122.96</v>
      </c>
    </row>
    <row r="157" spans="1:4">
      <c r="A157" s="129">
        <v>39508</v>
      </c>
      <c r="B157" s="130">
        <v>89.39156919093675</v>
      </c>
      <c r="C157" s="124">
        <v>101.26</v>
      </c>
      <c r="D157" s="124">
        <v>122.58</v>
      </c>
    </row>
    <row r="158" spans="1:4">
      <c r="A158" s="129">
        <v>39539</v>
      </c>
      <c r="B158" s="130">
        <v>89.189608510325229</v>
      </c>
      <c r="C158" s="124">
        <v>104.04</v>
      </c>
      <c r="D158" s="124">
        <v>120.93</v>
      </c>
    </row>
    <row r="159" spans="1:4">
      <c r="A159" s="129">
        <v>39569</v>
      </c>
      <c r="B159" s="130">
        <v>93.901976421158963</v>
      </c>
      <c r="C159" s="124">
        <v>110.75</v>
      </c>
      <c r="D159" s="124">
        <v>121.95</v>
      </c>
    </row>
    <row r="160" spans="1:4">
      <c r="A160" s="129">
        <v>39600</v>
      </c>
      <c r="B160" s="130">
        <v>95.390597090352884</v>
      </c>
      <c r="C160" s="124">
        <v>111.42</v>
      </c>
      <c r="D160" s="124">
        <v>117.9</v>
      </c>
    </row>
    <row r="161" spans="1:4">
      <c r="A161" s="129">
        <v>39630</v>
      </c>
      <c r="B161" s="130">
        <v>98.533119002863032</v>
      </c>
      <c r="C161" s="124">
        <v>113.19</v>
      </c>
      <c r="D161" s="124">
        <v>118.8</v>
      </c>
    </row>
    <row r="162" spans="1:4">
      <c r="A162" s="129">
        <v>39661</v>
      </c>
      <c r="B162" s="130">
        <v>98.885613518611237</v>
      </c>
      <c r="C162" s="124">
        <v>114.66</v>
      </c>
      <c r="D162" s="124">
        <v>120.44</v>
      </c>
    </row>
    <row r="163" spans="1:4">
      <c r="A163" s="129">
        <v>39692</v>
      </c>
      <c r="B163" s="130">
        <v>98.144034705419713</v>
      </c>
      <c r="C163" s="124">
        <v>111.9</v>
      </c>
      <c r="D163" s="124">
        <v>117.42</v>
      </c>
    </row>
    <row r="164" spans="1:4">
      <c r="A164" s="129">
        <v>39722</v>
      </c>
      <c r="B164" s="130">
        <v>91.177418323731629</v>
      </c>
      <c r="C164" s="124">
        <v>98.77</v>
      </c>
      <c r="D164" s="124">
        <v>105.8</v>
      </c>
    </row>
    <row r="165" spans="1:4">
      <c r="A165" s="129">
        <v>39753</v>
      </c>
      <c r="B165" s="130">
        <v>90.635896454155528</v>
      </c>
      <c r="C165" s="124">
        <v>98.61</v>
      </c>
      <c r="D165" s="124">
        <v>106.99</v>
      </c>
    </row>
    <row r="166" spans="1:4">
      <c r="A166" s="129">
        <v>39783</v>
      </c>
      <c r="B166" s="130">
        <v>84.840384413232101</v>
      </c>
      <c r="C166" s="124">
        <v>91.39</v>
      </c>
      <c r="D166" s="124">
        <v>99.27</v>
      </c>
    </row>
    <row r="167" spans="1:4">
      <c r="A167" s="129">
        <v>39814</v>
      </c>
      <c r="B167" s="130">
        <v>82.95705438163894</v>
      </c>
      <c r="C167" s="124">
        <v>95.31</v>
      </c>
      <c r="D167" s="124">
        <v>108.63</v>
      </c>
    </row>
    <row r="168" spans="1:4">
      <c r="A168" s="129">
        <v>39845</v>
      </c>
      <c r="B168" s="130">
        <v>81.44241335836314</v>
      </c>
      <c r="C168" s="124">
        <v>93.35</v>
      </c>
      <c r="D168" s="124">
        <v>109.48</v>
      </c>
    </row>
    <row r="169" spans="1:4">
      <c r="A169" s="129">
        <v>39873</v>
      </c>
      <c r="B169" s="130">
        <v>82.136501670592764</v>
      </c>
      <c r="C169" s="124">
        <v>92.92</v>
      </c>
      <c r="D169" s="124">
        <v>110.15</v>
      </c>
    </row>
    <row r="170" spans="1:4">
      <c r="A170" s="129">
        <v>39904</v>
      </c>
      <c r="B170" s="130">
        <v>86.780148360895637</v>
      </c>
      <c r="C170" s="124">
        <v>99.37</v>
      </c>
      <c r="D170" s="124">
        <v>116.05</v>
      </c>
    </row>
    <row r="171" spans="1:4">
      <c r="A171" s="129">
        <v>39934</v>
      </c>
      <c r="B171" s="130">
        <v>84.865675792093413</v>
      </c>
      <c r="C171" s="124">
        <v>101.55</v>
      </c>
      <c r="D171" s="124">
        <v>118.12</v>
      </c>
    </row>
    <row r="172" spans="1:4">
      <c r="A172" s="129">
        <v>39965</v>
      </c>
      <c r="B172" s="130">
        <v>81.793152330912065</v>
      </c>
      <c r="C172" s="124">
        <v>97.96</v>
      </c>
      <c r="D172" s="124">
        <v>112.5</v>
      </c>
    </row>
    <row r="173" spans="1:4">
      <c r="A173" s="129">
        <v>39995</v>
      </c>
      <c r="B173" s="130">
        <v>82.735876364220516</v>
      </c>
      <c r="C173" s="124">
        <v>102.95</v>
      </c>
      <c r="D173" s="124">
        <v>110.31</v>
      </c>
    </row>
    <row r="174" spans="1:4">
      <c r="A174" s="129">
        <v>40026</v>
      </c>
      <c r="B174" s="130">
        <v>82.739926838443793</v>
      </c>
      <c r="C174" s="124">
        <v>102.05</v>
      </c>
      <c r="D174" s="124">
        <v>110.26</v>
      </c>
    </row>
    <row r="175" spans="1:4">
      <c r="A175" s="129">
        <v>40057</v>
      </c>
      <c r="B175" s="130">
        <v>83.679747013852307</v>
      </c>
      <c r="C175" s="124">
        <v>98.64</v>
      </c>
      <c r="D175" s="124">
        <v>107.55</v>
      </c>
    </row>
    <row r="176" spans="1:4">
      <c r="A176" s="129">
        <v>40087</v>
      </c>
      <c r="B176" s="130">
        <v>83.951054787874426</v>
      </c>
      <c r="C176" s="124">
        <v>94.36</v>
      </c>
      <c r="D176" s="124">
        <v>102.86</v>
      </c>
    </row>
    <row r="177" spans="1:6">
      <c r="A177" s="129">
        <v>40118</v>
      </c>
      <c r="B177" s="130">
        <v>84.076159041825491</v>
      </c>
      <c r="C177" s="124">
        <v>94.17</v>
      </c>
      <c r="D177" s="124">
        <v>104.36</v>
      </c>
    </row>
    <row r="178" spans="1:6">
      <c r="A178" s="129">
        <v>40148</v>
      </c>
      <c r="B178" s="130">
        <v>81.844519706062755</v>
      </c>
      <c r="C178" s="124">
        <v>94.75</v>
      </c>
      <c r="D178" s="124">
        <v>105.88</v>
      </c>
    </row>
    <row r="179" spans="1:6">
      <c r="A179" s="129">
        <v>40179</v>
      </c>
      <c r="B179" s="130">
        <v>84.798968378084666</v>
      </c>
      <c r="C179" s="124">
        <v>96.84</v>
      </c>
      <c r="D179" s="124">
        <v>109.25</v>
      </c>
    </row>
    <row r="180" spans="1:6">
      <c r="A180" s="129">
        <v>40210</v>
      </c>
      <c r="B180" s="130">
        <v>89.197968553383006</v>
      </c>
      <c r="C180" s="124">
        <v>99.68</v>
      </c>
      <c r="D180" s="124">
        <v>114.86</v>
      </c>
    </row>
    <row r="181" spans="1:6">
      <c r="A181" s="129">
        <v>40238</v>
      </c>
      <c r="B181" s="130">
        <v>94.328127332906519</v>
      </c>
      <c r="C181" s="124">
        <v>106.12</v>
      </c>
      <c r="D181" s="124">
        <v>124.57</v>
      </c>
    </row>
    <row r="182" spans="1:6">
      <c r="A182" s="129">
        <v>40269</v>
      </c>
      <c r="B182" s="130">
        <v>98.745258374034137</v>
      </c>
      <c r="C182" s="124">
        <v>113.64</v>
      </c>
      <c r="D182" s="124">
        <v>131</v>
      </c>
    </row>
    <row r="183" spans="1:6">
      <c r="A183" s="129">
        <v>40299</v>
      </c>
      <c r="B183" s="130">
        <v>98.004814543253858</v>
      </c>
      <c r="C183" s="124">
        <v>114.24</v>
      </c>
      <c r="D183" s="124">
        <v>128.69999999999999</v>
      </c>
    </row>
    <row r="184" spans="1:6">
      <c r="A184" s="129">
        <v>40330</v>
      </c>
      <c r="B184" s="130">
        <v>92.242824217561335</v>
      </c>
      <c r="C184" s="124">
        <v>111.23</v>
      </c>
      <c r="D184" s="124">
        <v>123.61</v>
      </c>
    </row>
    <row r="185" spans="1:6">
      <c r="A185" s="129">
        <v>40360</v>
      </c>
      <c r="B185" s="130">
        <v>93.177780450949598</v>
      </c>
      <c r="C185" s="124">
        <v>115.48</v>
      </c>
      <c r="D185" s="124">
        <v>127.79</v>
      </c>
    </row>
    <row r="186" spans="1:6">
      <c r="A186" s="129">
        <v>40391</v>
      </c>
      <c r="B186" s="130">
        <v>96.208841708358236</v>
      </c>
      <c r="C186" s="124">
        <v>116.25</v>
      </c>
      <c r="D186" s="124">
        <v>125.21</v>
      </c>
    </row>
    <row r="187" spans="1:6">
      <c r="A187" s="129">
        <v>40422</v>
      </c>
      <c r="B187" s="130">
        <v>97.024965321919595</v>
      </c>
      <c r="C187" s="124">
        <v>113.62</v>
      </c>
      <c r="D187" s="124">
        <v>119.31</v>
      </c>
    </row>
    <row r="188" spans="1:6">
      <c r="A188" s="129">
        <v>40452</v>
      </c>
      <c r="B188" s="130">
        <v>98.25229666123569</v>
      </c>
      <c r="C188" s="124">
        <v>111.42</v>
      </c>
      <c r="D188" s="124">
        <v>116.56</v>
      </c>
    </row>
    <row r="189" spans="1:6">
      <c r="A189" s="129">
        <v>40483</v>
      </c>
      <c r="B189" s="130">
        <v>99.596324564059643</v>
      </c>
      <c r="C189" s="124">
        <v>113.31</v>
      </c>
      <c r="D189" s="124">
        <v>122.85</v>
      </c>
      <c r="E189" s="124"/>
      <c r="F189" s="124"/>
    </row>
    <row r="190" spans="1:6">
      <c r="A190" s="129">
        <v>40513</v>
      </c>
      <c r="B190" s="130">
        <v>102.96653180190928</v>
      </c>
      <c r="C190" s="124">
        <v>118.83</v>
      </c>
      <c r="D190" s="124">
        <v>130.37</v>
      </c>
    </row>
    <row r="191" spans="1:6">
      <c r="A191" s="129">
        <v>40544</v>
      </c>
      <c r="B191" s="130">
        <v>105.82046560878125</v>
      </c>
      <c r="C191" s="124">
        <v>126.23</v>
      </c>
      <c r="D191" s="124">
        <v>141.44</v>
      </c>
    </row>
    <row r="192" spans="1:6">
      <c r="A192" s="129">
        <v>40575</v>
      </c>
      <c r="B192" s="130">
        <v>108.50932783194867</v>
      </c>
      <c r="C192" s="124">
        <v>129.13</v>
      </c>
      <c r="D192" s="124">
        <v>150.71</v>
      </c>
    </row>
    <row r="193" spans="1:4">
      <c r="A193" s="129">
        <v>40603</v>
      </c>
      <c r="B193" s="130">
        <v>115.86762172820518</v>
      </c>
      <c r="C193" s="124">
        <v>131.82</v>
      </c>
      <c r="D193" s="124">
        <v>158.06</v>
      </c>
    </row>
    <row r="194" spans="1:4">
      <c r="A194" s="129">
        <v>40634</v>
      </c>
      <c r="B194" s="130">
        <v>119.732524911955</v>
      </c>
      <c r="C194" s="124">
        <v>135.41</v>
      </c>
      <c r="D194" s="124">
        <v>155.69</v>
      </c>
    </row>
    <row r="195" spans="1:4">
      <c r="A195" s="129">
        <v>40664</v>
      </c>
      <c r="B195" s="130">
        <v>110.72445966184252</v>
      </c>
      <c r="C195" s="124">
        <v>130.19</v>
      </c>
      <c r="D195" s="124">
        <v>145.37</v>
      </c>
    </row>
    <row r="196" spans="1:4">
      <c r="A196" s="129">
        <v>40695</v>
      </c>
      <c r="B196" s="130">
        <v>107.90783093791197</v>
      </c>
      <c r="C196" s="124">
        <v>130.47999999999999</v>
      </c>
      <c r="D196" s="124">
        <v>144.76</v>
      </c>
    </row>
    <row r="197" spans="1:4">
      <c r="A197" s="129">
        <v>40725</v>
      </c>
      <c r="B197" s="130">
        <v>111.20789286363056</v>
      </c>
      <c r="C197" s="124">
        <v>138.59</v>
      </c>
      <c r="D197" s="124">
        <v>140.94999999999999</v>
      </c>
    </row>
    <row r="198" spans="1:4">
      <c r="A198" s="129">
        <v>40756</v>
      </c>
      <c r="B198" s="130">
        <v>113.79750057495055</v>
      </c>
      <c r="C198" s="124">
        <v>135.44</v>
      </c>
      <c r="D198" s="124">
        <v>143.15</v>
      </c>
    </row>
    <row r="199" spans="1:4">
      <c r="A199" s="129">
        <v>40787</v>
      </c>
      <c r="B199" s="130">
        <v>117.14726915796938</v>
      </c>
      <c r="C199" s="124">
        <v>133.76</v>
      </c>
      <c r="D199" s="124">
        <v>140.97999999999999</v>
      </c>
    </row>
    <row r="200" spans="1:4">
      <c r="A200" s="129">
        <v>40817</v>
      </c>
      <c r="B200" s="130">
        <v>120.37950007346677</v>
      </c>
      <c r="C200" s="124">
        <v>140.18</v>
      </c>
      <c r="D200" s="124">
        <v>144.65</v>
      </c>
    </row>
    <row r="201" spans="1:4">
      <c r="A201" s="129">
        <v>40848</v>
      </c>
      <c r="B201" s="130">
        <v>124.07725712863717</v>
      </c>
      <c r="C201" s="124">
        <v>144.01</v>
      </c>
      <c r="D201" s="124">
        <v>155.4</v>
      </c>
    </row>
    <row r="202" spans="1:4">
      <c r="A202" s="129">
        <v>40878</v>
      </c>
      <c r="B202" s="130">
        <v>121.52432124886035</v>
      </c>
      <c r="C202" s="124">
        <v>145.26</v>
      </c>
      <c r="D202" s="124">
        <v>159.29</v>
      </c>
    </row>
    <row r="203" spans="1:4">
      <c r="A203" s="129">
        <v>40909</v>
      </c>
      <c r="B203" s="130">
        <v>123.39377655812375</v>
      </c>
      <c r="C203" s="124">
        <v>149.80000000000001</v>
      </c>
      <c r="D203" s="124">
        <v>170.56</v>
      </c>
    </row>
    <row r="204" spans="1:4">
      <c r="A204" s="129">
        <v>40940</v>
      </c>
      <c r="B204" s="130">
        <v>125.42919807214146</v>
      </c>
      <c r="C204" s="124">
        <v>155.97</v>
      </c>
      <c r="D204" s="124">
        <v>185.34</v>
      </c>
    </row>
    <row r="205" spans="1:4">
      <c r="A205" s="129">
        <v>40969</v>
      </c>
      <c r="B205" s="130">
        <v>127.06565881541943</v>
      </c>
      <c r="C205" s="124">
        <v>156.99</v>
      </c>
      <c r="D205" s="124">
        <v>191.32</v>
      </c>
    </row>
    <row r="206" spans="1:4">
      <c r="A206" s="129">
        <v>41000</v>
      </c>
      <c r="B206" s="130">
        <v>121.66664253702747</v>
      </c>
      <c r="C206" s="124">
        <v>151.72</v>
      </c>
      <c r="D206" s="124">
        <v>185.67</v>
      </c>
    </row>
    <row r="207" spans="1:4">
      <c r="A207" s="129">
        <v>41030</v>
      </c>
      <c r="B207" s="130">
        <v>121.36074682680299</v>
      </c>
      <c r="C207" s="124">
        <v>152.69</v>
      </c>
      <c r="D207" s="124">
        <v>182.06</v>
      </c>
    </row>
    <row r="208" spans="1:4">
      <c r="A208" s="129">
        <v>41061</v>
      </c>
      <c r="B208" s="130">
        <v>119.70856296311355</v>
      </c>
      <c r="C208" s="124">
        <v>153.55000000000001</v>
      </c>
      <c r="D208" s="124">
        <v>168.21</v>
      </c>
    </row>
    <row r="209" spans="1:4">
      <c r="A209" s="129">
        <v>41091</v>
      </c>
      <c r="B209" s="130">
        <v>114.64124380541577</v>
      </c>
      <c r="C209" s="124">
        <v>139.62</v>
      </c>
      <c r="D209" s="124">
        <v>143.63</v>
      </c>
    </row>
    <row r="210" spans="1:4">
      <c r="A210" s="129">
        <v>41122</v>
      </c>
      <c r="B210" s="130">
        <v>119.82145391295285</v>
      </c>
      <c r="C210" s="124">
        <v>140.37</v>
      </c>
      <c r="D210" s="124">
        <v>150.6</v>
      </c>
    </row>
    <row r="211" spans="1:4">
      <c r="A211" s="129">
        <v>41153</v>
      </c>
      <c r="B211" s="130">
        <v>124.60455736414235</v>
      </c>
      <c r="C211" s="124">
        <v>145.47</v>
      </c>
      <c r="D211" s="124">
        <v>157.49</v>
      </c>
    </row>
    <row r="212" spans="1:4">
      <c r="A212" s="129">
        <v>41183</v>
      </c>
      <c r="B212" s="130">
        <v>125.13132710374217</v>
      </c>
      <c r="C212" s="124">
        <v>145.55000000000001</v>
      </c>
      <c r="D212" s="124">
        <v>160.65</v>
      </c>
    </row>
    <row r="213" spans="1:4">
      <c r="A213" s="129">
        <v>41214</v>
      </c>
      <c r="B213" s="130">
        <v>125.96312520961429</v>
      </c>
      <c r="C213" s="124">
        <v>145.59</v>
      </c>
      <c r="D213" s="124">
        <v>160.38</v>
      </c>
    </row>
    <row r="214" spans="1:4">
      <c r="A214" s="129">
        <v>41244</v>
      </c>
      <c r="B214" s="130">
        <v>125.52822310245755</v>
      </c>
      <c r="C214" s="124">
        <v>148.36000000000001</v>
      </c>
      <c r="D214" s="124">
        <v>163.22</v>
      </c>
    </row>
    <row r="215" spans="1:4">
      <c r="A215" s="129">
        <v>41275</v>
      </c>
      <c r="B215" s="130">
        <v>124.74685040265997</v>
      </c>
      <c r="C215" s="124">
        <v>147.46</v>
      </c>
      <c r="D215" s="124">
        <v>171.33</v>
      </c>
    </row>
    <row r="216" spans="1:4">
      <c r="A216" s="129">
        <v>41306</v>
      </c>
      <c r="B216" s="130">
        <v>125.05672324636693</v>
      </c>
      <c r="C216" s="124">
        <v>141.79</v>
      </c>
      <c r="D216" s="124">
        <v>170.31</v>
      </c>
    </row>
    <row r="217" spans="1:4">
      <c r="A217" s="129">
        <v>41334</v>
      </c>
      <c r="B217" s="130">
        <v>126.73949037885184</v>
      </c>
      <c r="C217" s="124">
        <v>137.97999999999999</v>
      </c>
      <c r="D217" s="124">
        <v>168.75</v>
      </c>
    </row>
    <row r="218" spans="1:4">
      <c r="A218" s="129">
        <v>41365</v>
      </c>
      <c r="B218" s="130">
        <v>127.53622266074659</v>
      </c>
      <c r="C218" s="124">
        <v>138.53</v>
      </c>
      <c r="D218" s="124">
        <v>166.21</v>
      </c>
    </row>
    <row r="219" spans="1:4">
      <c r="A219" s="129">
        <v>41395</v>
      </c>
      <c r="B219" s="130">
        <v>126.0747505392805</v>
      </c>
      <c r="C219" s="124">
        <v>134.63999999999999</v>
      </c>
      <c r="D219" s="124">
        <v>157.41</v>
      </c>
    </row>
    <row r="220" spans="1:4">
      <c r="A220" s="129">
        <v>41426</v>
      </c>
      <c r="B220" s="130">
        <v>121.23151612727916</v>
      </c>
      <c r="C220" s="124">
        <v>138.85</v>
      </c>
      <c r="D220" s="124">
        <v>155.52000000000001</v>
      </c>
    </row>
    <row r="221" spans="1:4">
      <c r="A221" s="129">
        <v>41456</v>
      </c>
      <c r="B221" s="130">
        <v>119.98610702650075</v>
      </c>
      <c r="C221" s="124">
        <v>149.69</v>
      </c>
      <c r="D221" s="124">
        <v>165.66</v>
      </c>
    </row>
    <row r="222" spans="1:4">
      <c r="A222" s="129">
        <v>41487</v>
      </c>
      <c r="B222" s="130">
        <v>122.98428890443651</v>
      </c>
      <c r="C222" s="124">
        <v>157.28</v>
      </c>
      <c r="D222" s="124">
        <v>174.56</v>
      </c>
    </row>
    <row r="223" spans="1:4">
      <c r="A223" s="129">
        <v>41518</v>
      </c>
      <c r="B223" s="130">
        <v>123.93411414114384</v>
      </c>
      <c r="C223" s="124">
        <v>160.88999999999999</v>
      </c>
      <c r="D223" s="124">
        <v>173.36</v>
      </c>
    </row>
    <row r="224" spans="1:4">
      <c r="A224" s="129">
        <v>41548</v>
      </c>
      <c r="B224" s="130">
        <v>129.06786989496729</v>
      </c>
      <c r="C224" s="124">
        <v>168.04</v>
      </c>
      <c r="D224" s="124">
        <v>184.39</v>
      </c>
    </row>
    <row r="225" spans="1:4">
      <c r="A225" s="129">
        <v>41579</v>
      </c>
      <c r="B225" s="130">
        <v>131.47186009856762</v>
      </c>
      <c r="C225" s="124">
        <v>167.27</v>
      </c>
      <c r="D225" s="124">
        <v>187.18</v>
      </c>
    </row>
    <row r="226" spans="1:4">
      <c r="A226" s="129">
        <v>41609</v>
      </c>
      <c r="B226" s="130">
        <v>131.77422066014671</v>
      </c>
      <c r="C226" s="124">
        <v>165.82</v>
      </c>
      <c r="D226" s="124">
        <v>191.12</v>
      </c>
    </row>
    <row r="227" spans="1:4">
      <c r="A227" s="129">
        <v>41640</v>
      </c>
      <c r="B227" s="130">
        <v>142.29754349026646</v>
      </c>
      <c r="C227" s="124">
        <v>169.78</v>
      </c>
      <c r="D227" s="124">
        <v>203.18</v>
      </c>
    </row>
    <row r="228" spans="1:4">
      <c r="A228" s="129">
        <v>41671</v>
      </c>
      <c r="B228" s="130">
        <v>146.00818231046932</v>
      </c>
      <c r="C228" s="124">
        <v>169.27</v>
      </c>
      <c r="D228" s="124">
        <v>207.71</v>
      </c>
    </row>
    <row r="229" spans="1:4">
      <c r="A229" s="129">
        <v>41699</v>
      </c>
      <c r="B229" s="130">
        <v>150.71009454888869</v>
      </c>
      <c r="C229" s="124">
        <v>176.27</v>
      </c>
      <c r="D229" s="124">
        <v>217.02</v>
      </c>
    </row>
    <row r="230" spans="1:4">
      <c r="A230" s="129">
        <v>41730</v>
      </c>
      <c r="B230" s="130">
        <v>148.14317173409944</v>
      </c>
      <c r="C230" s="124">
        <v>180.51</v>
      </c>
      <c r="D230" s="124">
        <v>217.63</v>
      </c>
    </row>
    <row r="231" spans="1:4">
      <c r="A231" s="129">
        <v>41760</v>
      </c>
      <c r="B231" s="130">
        <v>145.82233614994837</v>
      </c>
      <c r="C231" s="124">
        <v>191.56</v>
      </c>
      <c r="D231" s="124">
        <v>227.55</v>
      </c>
    </row>
    <row r="232" spans="1:4">
      <c r="A232" s="129">
        <v>41791</v>
      </c>
      <c r="B232" s="130">
        <v>149.47987632182492</v>
      </c>
      <c r="C232" s="124">
        <v>207.4</v>
      </c>
      <c r="D232" s="124">
        <v>237.82</v>
      </c>
    </row>
    <row r="233" spans="1:4">
      <c r="A233" s="129">
        <v>41821</v>
      </c>
      <c r="B233" s="130">
        <v>158.45270631333617</v>
      </c>
      <c r="C233" s="124">
        <v>221.92</v>
      </c>
      <c r="D233" s="124">
        <v>258.38</v>
      </c>
    </row>
    <row r="234" spans="1:4">
      <c r="A234" s="129">
        <v>41852</v>
      </c>
      <c r="B234" s="130">
        <v>157.34217313203027</v>
      </c>
      <c r="C234" s="124">
        <v>222.83</v>
      </c>
      <c r="D234" s="124">
        <v>264.01</v>
      </c>
    </row>
    <row r="235" spans="1:4">
      <c r="A235" s="129">
        <v>41883</v>
      </c>
      <c r="B235" s="130">
        <v>159.67368308538022</v>
      </c>
      <c r="C235" s="124">
        <v>233.04</v>
      </c>
      <c r="D235" s="124">
        <v>267.02</v>
      </c>
    </row>
    <row r="236" spans="1:4">
      <c r="A236" s="129">
        <v>41913</v>
      </c>
      <c r="B236" s="130">
        <v>164.11721490988299</v>
      </c>
      <c r="C236" s="124">
        <v>244.32</v>
      </c>
      <c r="D236" s="124">
        <v>280.70999999999998</v>
      </c>
    </row>
    <row r="237" spans="1:4">
      <c r="A237" s="129">
        <v>41944</v>
      </c>
      <c r="B237" s="130">
        <v>169.4979697350108</v>
      </c>
      <c r="C237" s="124">
        <v>241.08</v>
      </c>
      <c r="D237" s="124">
        <v>290.14999999999998</v>
      </c>
    </row>
    <row r="238" spans="1:4">
      <c r="A238" s="129">
        <v>41974</v>
      </c>
      <c r="B238" s="130">
        <v>163.16852855224707</v>
      </c>
      <c r="C238" s="124">
        <v>234.04</v>
      </c>
      <c r="D238" s="124">
        <v>286.04000000000002</v>
      </c>
    </row>
    <row r="239" spans="1:4">
      <c r="A239" s="129">
        <v>42005</v>
      </c>
      <c r="B239" s="130">
        <v>164.69387833116392</v>
      </c>
      <c r="C239" s="124">
        <v>220.23</v>
      </c>
      <c r="D239" s="124">
        <v>276.7</v>
      </c>
    </row>
    <row r="240" spans="1:4">
      <c r="A240" s="129">
        <v>42036</v>
      </c>
      <c r="B240" s="130">
        <v>159.747063364718</v>
      </c>
      <c r="C240" s="124">
        <v>210.68</v>
      </c>
      <c r="D240" s="124">
        <v>270.97000000000003</v>
      </c>
    </row>
    <row r="241" spans="1:7">
      <c r="A241" s="129">
        <v>42064</v>
      </c>
      <c r="B241" s="130">
        <v>162.85714506695024</v>
      </c>
      <c r="C241" s="124">
        <v>216.71</v>
      </c>
      <c r="D241" s="124">
        <v>280.74</v>
      </c>
    </row>
    <row r="242" spans="1:7">
      <c r="A242" s="129">
        <v>42095</v>
      </c>
      <c r="B242" s="130">
        <v>162.49410319682374</v>
      </c>
      <c r="C242" s="124">
        <v>221.67</v>
      </c>
      <c r="D242" s="124">
        <v>279.16000000000003</v>
      </c>
    </row>
    <row r="243" spans="1:7">
      <c r="A243" s="129">
        <v>42125</v>
      </c>
      <c r="B243" s="130">
        <v>160.60026801362716</v>
      </c>
      <c r="C243" s="124">
        <v>223.93</v>
      </c>
      <c r="D243" s="124">
        <v>278.27</v>
      </c>
    </row>
    <row r="244" spans="1:7">
      <c r="A244" s="129">
        <v>42156</v>
      </c>
      <c r="B244" s="130">
        <v>151.24726066547214</v>
      </c>
      <c r="C244" s="124">
        <v>230.28</v>
      </c>
      <c r="D244" s="124">
        <v>280.54000000000002</v>
      </c>
    </row>
    <row r="245" spans="1:7">
      <c r="A245" s="129">
        <v>42186</v>
      </c>
      <c r="B245" s="130">
        <v>148.88377974569875</v>
      </c>
      <c r="C245" s="124">
        <v>224.4</v>
      </c>
      <c r="D245" s="124">
        <v>265.83999999999997</v>
      </c>
    </row>
    <row r="246" spans="1:7">
      <c r="A246" s="129">
        <v>42217</v>
      </c>
      <c r="B246" s="130">
        <v>148.47920528656695</v>
      </c>
      <c r="C246" s="124">
        <v>218.86</v>
      </c>
      <c r="D246" s="124">
        <v>249.33</v>
      </c>
    </row>
    <row r="247" spans="1:7">
      <c r="A247" s="129">
        <v>42248</v>
      </c>
      <c r="B247" s="130">
        <v>135.28697921000258</v>
      </c>
      <c r="C247" s="124">
        <v>199.88</v>
      </c>
      <c r="D247" s="124">
        <v>222.94</v>
      </c>
    </row>
    <row r="248" spans="1:7">
      <c r="A248" s="129">
        <v>42278</v>
      </c>
      <c r="B248" s="130">
        <v>130.83851176924469</v>
      </c>
      <c r="C248" s="124">
        <v>193.63</v>
      </c>
      <c r="D248" s="124">
        <v>214.17</v>
      </c>
    </row>
    <row r="249" spans="1:7">
      <c r="A249" s="129">
        <v>42309</v>
      </c>
      <c r="B249" s="130">
        <v>127.07668051359518</v>
      </c>
      <c r="C249" s="124">
        <v>180.25</v>
      </c>
      <c r="D249" s="124">
        <v>209.61</v>
      </c>
    </row>
    <row r="250" spans="1:7">
      <c r="A250" s="129">
        <v>42339</v>
      </c>
      <c r="B250" s="130">
        <v>125.23355846916311</v>
      </c>
      <c r="C250" s="124">
        <v>157.99</v>
      </c>
      <c r="D250" s="124">
        <v>186.75</v>
      </c>
    </row>
    <row r="251" spans="1:7">
      <c r="A251" s="129">
        <v>42370</v>
      </c>
      <c r="B251" s="130">
        <v>133.79042044257113</v>
      </c>
      <c r="C251" s="124">
        <v>160.77000000000001</v>
      </c>
      <c r="D251" s="124">
        <v>194</v>
      </c>
    </row>
    <row r="252" spans="1:7">
      <c r="A252" s="129">
        <v>42401</v>
      </c>
      <c r="B252" s="130">
        <v>133.91775019098549</v>
      </c>
      <c r="C252" s="124">
        <v>158.52000000000001</v>
      </c>
      <c r="D252" s="124">
        <v>194.19</v>
      </c>
      <c r="F252" s="124"/>
      <c r="G252" s="124"/>
    </row>
    <row r="253" spans="1:7">
      <c r="A253" s="129">
        <v>42430</v>
      </c>
      <c r="B253" s="130">
        <v>136.71083841529347</v>
      </c>
      <c r="C253" s="124">
        <v>160.9</v>
      </c>
      <c r="D253" s="124">
        <v>199</v>
      </c>
    </row>
    <row r="254" spans="1:7">
      <c r="A254" s="129">
        <v>42461</v>
      </c>
      <c r="B254" s="130">
        <v>130.10536389343653</v>
      </c>
      <c r="C254" s="124">
        <v>151.94999999999999</v>
      </c>
      <c r="D254" s="124">
        <v>183.46</v>
      </c>
    </row>
    <row r="255" spans="1:7">
      <c r="A255" s="129">
        <v>42491</v>
      </c>
      <c r="B255" s="130">
        <v>129.43945046027036</v>
      </c>
      <c r="C255" s="124">
        <v>148.97</v>
      </c>
      <c r="D255" s="124">
        <v>174.38</v>
      </c>
    </row>
    <row r="256" spans="1:7">
      <c r="A256" s="129">
        <v>42522</v>
      </c>
      <c r="B256" s="130">
        <v>123.50744551191021</v>
      </c>
      <c r="C256" s="124">
        <v>146.74</v>
      </c>
      <c r="D256" s="124">
        <v>163.74</v>
      </c>
    </row>
    <row r="257" spans="1:4">
      <c r="A257" s="129">
        <v>42552</v>
      </c>
      <c r="B257" s="130">
        <v>117.31927149987203</v>
      </c>
      <c r="C257" s="124">
        <v>145.18</v>
      </c>
      <c r="D257" s="124">
        <v>159.57</v>
      </c>
    </row>
    <row r="258" spans="1:4">
      <c r="A258" s="129">
        <v>42583</v>
      </c>
      <c r="B258" s="130">
        <v>116.45195229644524</v>
      </c>
      <c r="C258" s="124">
        <v>150.21</v>
      </c>
      <c r="D258" s="124">
        <v>165.13</v>
      </c>
    </row>
    <row r="259" spans="1:4">
      <c r="A259" s="129">
        <v>42614</v>
      </c>
      <c r="B259" s="130">
        <v>105.90354831688916</v>
      </c>
      <c r="C259" s="124">
        <v>136.91999999999999</v>
      </c>
      <c r="D259" s="124">
        <v>146.66</v>
      </c>
    </row>
    <row r="260" spans="1:4">
      <c r="A260" s="129">
        <v>42644</v>
      </c>
      <c r="B260" s="130">
        <v>100.87354319653575</v>
      </c>
      <c r="C260" s="124">
        <v>126.06</v>
      </c>
      <c r="D260" s="124">
        <v>129.56</v>
      </c>
    </row>
    <row r="261" spans="1:4">
      <c r="A261" s="129">
        <v>42675</v>
      </c>
      <c r="B261" s="130">
        <v>108.13441461927596</v>
      </c>
      <c r="C261" s="124">
        <v>127.51</v>
      </c>
      <c r="D261" s="124">
        <v>138.46</v>
      </c>
    </row>
    <row r="262" spans="1:4">
      <c r="A262" s="129">
        <v>42705</v>
      </c>
      <c r="B262" s="130">
        <v>114.06024780106793</v>
      </c>
      <c r="C262" s="124">
        <v>133.63999999999999</v>
      </c>
      <c r="D262" s="124">
        <v>147.29</v>
      </c>
    </row>
    <row r="263" spans="1:4">
      <c r="A263" s="129">
        <v>42736</v>
      </c>
      <c r="B263" s="130">
        <v>119.98470208574538</v>
      </c>
      <c r="C263" s="124">
        <v>133.80000000000001</v>
      </c>
      <c r="D263" s="124">
        <v>152.65</v>
      </c>
    </row>
    <row r="264" spans="1:4">
      <c r="A264" s="129">
        <v>42767</v>
      </c>
      <c r="B264" s="130">
        <v>121.54089679763952</v>
      </c>
      <c r="C264" s="124">
        <v>130.44</v>
      </c>
      <c r="D264" s="124">
        <v>157.52000000000001</v>
      </c>
    </row>
    <row r="265" spans="1:4">
      <c r="A265" s="129">
        <v>42795</v>
      </c>
      <c r="B265" s="130">
        <v>127.35824983861606</v>
      </c>
      <c r="C265" s="124">
        <v>134.4</v>
      </c>
      <c r="D265" s="124">
        <v>161.97</v>
      </c>
    </row>
    <row r="266" spans="1:4">
      <c r="A266" s="129">
        <v>42826</v>
      </c>
      <c r="B266" s="130">
        <v>131.30676012636803</v>
      </c>
      <c r="C266" s="124">
        <v>143.69</v>
      </c>
      <c r="D266" s="124">
        <v>169.09</v>
      </c>
    </row>
    <row r="267" spans="1:4">
      <c r="A267" s="129">
        <v>42856</v>
      </c>
      <c r="B267" s="130">
        <v>138.04611314646559</v>
      </c>
      <c r="C267" s="124">
        <v>150.19999999999999</v>
      </c>
      <c r="D267" s="124">
        <v>174.85</v>
      </c>
    </row>
    <row r="268" spans="1:4">
      <c r="A268" s="129">
        <v>42887</v>
      </c>
      <c r="B268" s="130">
        <v>128.92241261666439</v>
      </c>
      <c r="C268" s="124">
        <v>154.02000000000001</v>
      </c>
      <c r="D268" s="124">
        <v>167.53</v>
      </c>
    </row>
    <row r="269" spans="1:4">
      <c r="A269" s="129">
        <v>42917</v>
      </c>
      <c r="B269" s="130">
        <v>118.44978281083954</v>
      </c>
      <c r="C269" s="124">
        <v>154.61000000000001</v>
      </c>
      <c r="D269" s="124">
        <v>168.8</v>
      </c>
    </row>
    <row r="270" spans="1:4">
      <c r="A270" s="129">
        <v>42948</v>
      </c>
      <c r="B270" s="130">
        <v>111.83452822587708</v>
      </c>
      <c r="C270" s="124">
        <v>149.47</v>
      </c>
      <c r="D270" s="124">
        <v>163</v>
      </c>
    </row>
    <row r="271" spans="1:4">
      <c r="A271" s="129">
        <v>42979</v>
      </c>
      <c r="B271" s="130">
        <v>107.11403306549326</v>
      </c>
      <c r="C271" s="124">
        <v>156.01</v>
      </c>
      <c r="D271" s="124">
        <v>164.61</v>
      </c>
    </row>
    <row r="272" spans="1:4">
      <c r="A272" s="129">
        <v>43009</v>
      </c>
      <c r="B272" s="130">
        <v>112.46247367555657</v>
      </c>
      <c r="C272" s="124">
        <v>157.61000000000001</v>
      </c>
      <c r="D272" s="124">
        <v>166.33</v>
      </c>
    </row>
    <row r="273" spans="1:4">
      <c r="A273" s="129">
        <v>43040</v>
      </c>
      <c r="B273" s="130">
        <v>121.37588371066835</v>
      </c>
      <c r="C273" s="124">
        <v>160.79</v>
      </c>
      <c r="D273" s="124">
        <v>173.98</v>
      </c>
    </row>
    <row r="274" spans="1:4">
      <c r="A274" s="129">
        <v>43070</v>
      </c>
      <c r="B274" s="130">
        <v>119.79954404085116</v>
      </c>
      <c r="C274" s="124">
        <v>152.97999999999999</v>
      </c>
      <c r="D274" s="124">
        <v>171.67</v>
      </c>
    </row>
    <row r="275" spans="1:4">
      <c r="A275" s="129">
        <v>43101</v>
      </c>
      <c r="B275" s="130">
        <v>123.35</v>
      </c>
      <c r="C275" s="124">
        <v>150.52000000000001</v>
      </c>
      <c r="D275" s="124">
        <v>176.3</v>
      </c>
    </row>
    <row r="276" spans="1:4">
      <c r="A276" s="129">
        <v>43132</v>
      </c>
      <c r="B276" s="130">
        <v>127.94</v>
      </c>
      <c r="C276" s="124">
        <v>150.54</v>
      </c>
      <c r="D276" s="124">
        <v>181.98</v>
      </c>
    </row>
    <row r="277" spans="1:4">
      <c r="A277" s="129">
        <v>43160</v>
      </c>
      <c r="B277" s="130">
        <v>125.52</v>
      </c>
      <c r="C277" s="124">
        <v>145.13999999999999</v>
      </c>
      <c r="D277" s="124">
        <v>181.76</v>
      </c>
    </row>
    <row r="278" spans="1:4">
      <c r="A278" s="129">
        <v>43191</v>
      </c>
      <c r="B278" s="130">
        <v>121.09</v>
      </c>
      <c r="C278" s="124">
        <v>144.91999999999999</v>
      </c>
      <c r="D278" s="124">
        <v>171.05</v>
      </c>
    </row>
    <row r="279" spans="1:4">
      <c r="A279" s="129">
        <v>43221</v>
      </c>
      <c r="B279" s="130">
        <v>118.5</v>
      </c>
      <c r="C279" s="124">
        <v>141.91</v>
      </c>
      <c r="D279" s="124">
        <v>171.06</v>
      </c>
    </row>
    <row r="280" spans="1:4">
      <c r="A280" s="129">
        <v>43252</v>
      </c>
      <c r="B280" s="130">
        <v>110.57</v>
      </c>
      <c r="C280" s="124">
        <v>146.74</v>
      </c>
      <c r="D280" s="124">
        <v>168.23</v>
      </c>
    </row>
    <row r="281" spans="1:4">
      <c r="A281" s="129">
        <v>43282</v>
      </c>
      <c r="B281" s="130">
        <v>112.2</v>
      </c>
      <c r="C281" s="124">
        <v>154.51</v>
      </c>
      <c r="D281" s="124">
        <v>169.03</v>
      </c>
    </row>
    <row r="282" spans="1:4">
      <c r="A282" s="129">
        <v>43313</v>
      </c>
      <c r="B282" s="130">
        <v>110.37</v>
      </c>
      <c r="C282" s="124">
        <v>155.22</v>
      </c>
      <c r="D282" s="124">
        <v>169.95</v>
      </c>
    </row>
    <row r="283" spans="1:4">
      <c r="A283" s="129">
        <v>43344</v>
      </c>
      <c r="B283" s="130">
        <v>109.91</v>
      </c>
      <c r="C283" s="124">
        <v>158.25</v>
      </c>
      <c r="D283" s="124">
        <v>170.36</v>
      </c>
    </row>
    <row r="284" spans="1:4">
      <c r="A284" s="129">
        <v>43374</v>
      </c>
      <c r="B284" s="130">
        <v>111.55</v>
      </c>
      <c r="C284" s="124">
        <v>156.97999999999999</v>
      </c>
      <c r="D284" s="124">
        <v>167.48</v>
      </c>
    </row>
    <row r="285" spans="1:4">
      <c r="A285" s="129">
        <v>43405</v>
      </c>
      <c r="B285" s="130">
        <v>115.04</v>
      </c>
      <c r="C285" s="124">
        <v>150.26</v>
      </c>
      <c r="D285" s="124">
        <v>165.27</v>
      </c>
    </row>
    <row r="286" spans="1:4">
      <c r="A286" s="129">
        <v>43435</v>
      </c>
      <c r="B286" s="130">
        <v>119.36</v>
      </c>
      <c r="C286" s="124">
        <v>145</v>
      </c>
      <c r="D286" s="124">
        <v>164.19</v>
      </c>
    </row>
    <row r="287" spans="1:4">
      <c r="A287" s="129">
        <v>43466</v>
      </c>
      <c r="B287" s="130">
        <v>123.23</v>
      </c>
      <c r="C287" s="124">
        <v>142.16999999999999</v>
      </c>
      <c r="D287" s="124">
        <v>166.39</v>
      </c>
    </row>
    <row r="288" spans="1:4">
      <c r="A288" s="129">
        <v>43497</v>
      </c>
      <c r="B288" s="130">
        <v>124.89</v>
      </c>
      <c r="C288" s="124">
        <v>142.18</v>
      </c>
      <c r="D288" s="124">
        <v>173.1</v>
      </c>
    </row>
    <row r="289" spans="1:4">
      <c r="A289" s="129">
        <v>43525</v>
      </c>
      <c r="B289" s="130">
        <v>127.69</v>
      </c>
      <c r="C289" s="124">
        <v>144.27000000000001</v>
      </c>
      <c r="D289" s="124">
        <v>174.73</v>
      </c>
    </row>
    <row r="290" spans="1:4">
      <c r="A290" s="129">
        <v>43556</v>
      </c>
      <c r="B290" s="130">
        <v>126.33</v>
      </c>
      <c r="C290" s="124">
        <v>151.69</v>
      </c>
      <c r="D290" s="124">
        <v>180.24</v>
      </c>
    </row>
    <row r="291" spans="1:4">
      <c r="A291" s="129">
        <v>43586</v>
      </c>
      <c r="B291" s="130">
        <v>118.13</v>
      </c>
      <c r="C291" s="124">
        <v>140.93</v>
      </c>
      <c r="D291" s="124">
        <v>164.19</v>
      </c>
    </row>
    <row r="292" spans="1:4">
      <c r="A292" s="129">
        <v>43617</v>
      </c>
      <c r="B292" s="130">
        <v>111.92</v>
      </c>
      <c r="C292" s="124">
        <v>137.08000000000001</v>
      </c>
      <c r="D292" s="124">
        <v>157.22999999999999</v>
      </c>
    </row>
    <row r="293" spans="1:4">
      <c r="A293" s="129">
        <v>43647</v>
      </c>
      <c r="B293" s="130">
        <v>112.84</v>
      </c>
      <c r="C293" s="124">
        <v>145.63999999999999</v>
      </c>
      <c r="D293" s="124">
        <v>159.4</v>
      </c>
    </row>
    <row r="294" spans="1:4">
      <c r="A294" s="129">
        <v>43678</v>
      </c>
      <c r="B294" s="130">
        <v>109.38</v>
      </c>
      <c r="C294" s="124">
        <v>144.47</v>
      </c>
      <c r="D294" s="124">
        <v>157.78</v>
      </c>
    </row>
    <row r="295" spans="1:4">
      <c r="A295" s="129">
        <v>43709</v>
      </c>
      <c r="B295" s="130">
        <v>102.27</v>
      </c>
      <c r="C295" s="124">
        <v>143.08000000000001</v>
      </c>
      <c r="D295" s="124">
        <v>153.24</v>
      </c>
    </row>
    <row r="296" spans="1:4">
      <c r="A296" s="129">
        <v>43739</v>
      </c>
      <c r="B296" s="130">
        <v>109.29</v>
      </c>
      <c r="C296" s="124">
        <v>148.74</v>
      </c>
      <c r="D296" s="124">
        <v>155.49</v>
      </c>
    </row>
    <row r="297" spans="1:4">
      <c r="A297" s="129">
        <v>43770</v>
      </c>
      <c r="B297" s="130">
        <v>115.35</v>
      </c>
      <c r="C297" s="124">
        <v>147.78</v>
      </c>
      <c r="D297" s="124">
        <v>156.96</v>
      </c>
    </row>
    <row r="298" spans="1:4">
      <c r="A298" s="129">
        <v>43800</v>
      </c>
      <c r="B298" s="130">
        <v>120</v>
      </c>
      <c r="C298" s="124">
        <v>148.01</v>
      </c>
      <c r="D298" s="124">
        <v>162.08000000000001</v>
      </c>
    </row>
    <row r="299" spans="1:4">
      <c r="A299" s="129">
        <v>43831</v>
      </c>
      <c r="B299" s="130">
        <v>123.89</v>
      </c>
      <c r="C299" s="124">
        <v>144.9</v>
      </c>
      <c r="D299" s="124">
        <v>167.63</v>
      </c>
    </row>
    <row r="300" spans="1:4">
      <c r="A300" s="129">
        <v>43862</v>
      </c>
      <c r="B300" s="130">
        <v>118.59</v>
      </c>
      <c r="C300" s="124">
        <v>140.26</v>
      </c>
      <c r="D300" s="124">
        <v>170.27</v>
      </c>
    </row>
    <row r="301" spans="1:4">
      <c r="A301" s="129">
        <v>43891</v>
      </c>
      <c r="B301" s="130">
        <v>112.48</v>
      </c>
      <c r="C301" s="124">
        <v>131.55000000000001</v>
      </c>
      <c r="D301" s="124">
        <v>161.25</v>
      </c>
    </row>
    <row r="302" spans="1:4">
      <c r="A302" s="129">
        <v>43922</v>
      </c>
      <c r="B302" s="130">
        <v>102.02</v>
      </c>
      <c r="C302" s="124">
        <v>122.74</v>
      </c>
      <c r="D302" s="124">
        <v>153.83000000000001</v>
      </c>
    </row>
    <row r="303" spans="1:4">
      <c r="A303" s="129">
        <v>43952</v>
      </c>
      <c r="B303" s="130">
        <v>111.53</v>
      </c>
      <c r="C303" s="124">
        <v>131.87</v>
      </c>
      <c r="D303" s="124">
        <v>153.97</v>
      </c>
    </row>
    <row r="304" spans="1:4">
      <c r="A304" s="129">
        <v>43983</v>
      </c>
      <c r="B304" s="130">
        <v>103.82</v>
      </c>
      <c r="C304" s="124">
        <v>133.75</v>
      </c>
      <c r="D304" s="124">
        <v>149.85</v>
      </c>
    </row>
    <row r="305" spans="1:7">
      <c r="A305" s="129">
        <v>44013</v>
      </c>
      <c r="B305" s="130">
        <v>96.57</v>
      </c>
      <c r="C305" s="124">
        <v>139.28</v>
      </c>
      <c r="D305" s="124">
        <v>156.66999999999999</v>
      </c>
    </row>
    <row r="306" spans="1:7">
      <c r="A306" s="129">
        <v>44044</v>
      </c>
      <c r="B306" s="130">
        <v>104.6</v>
      </c>
      <c r="C306" s="124">
        <v>145.41</v>
      </c>
      <c r="D306" s="124">
        <v>160.77000000000001</v>
      </c>
      <c r="F306" s="124"/>
    </row>
    <row r="307" spans="1:7">
      <c r="A307" s="129">
        <v>44075</v>
      </c>
      <c r="B307" s="130">
        <v>104.06</v>
      </c>
      <c r="C307" s="124">
        <v>141.22999999999999</v>
      </c>
      <c r="D307" s="124">
        <v>153.59</v>
      </c>
      <c r="F307" s="124"/>
    </row>
    <row r="308" spans="1:7">
      <c r="A308" s="129">
        <v>44105</v>
      </c>
      <c r="B308" s="130">
        <v>106.65</v>
      </c>
      <c r="C308" s="124">
        <v>137.28</v>
      </c>
      <c r="D308" s="124">
        <v>147.08000000000001</v>
      </c>
      <c r="E308" s="130"/>
      <c r="F308" s="124"/>
      <c r="G308" s="130"/>
    </row>
    <row r="309" spans="1:7">
      <c r="A309" s="129">
        <v>44136</v>
      </c>
      <c r="B309" s="130">
        <v>108.85</v>
      </c>
      <c r="C309" s="124">
        <v>138.33000000000001</v>
      </c>
      <c r="D309" s="124">
        <v>155.69</v>
      </c>
      <c r="F309" s="124"/>
    </row>
    <row r="310" spans="1:7">
      <c r="A310" s="129">
        <v>44166</v>
      </c>
      <c r="B310" s="130">
        <v>109.05</v>
      </c>
      <c r="C310" s="124">
        <v>138.53</v>
      </c>
      <c r="D310" s="124">
        <v>162.22999999999999</v>
      </c>
      <c r="F310" s="124"/>
    </row>
    <row r="311" spans="1:7">
      <c r="A311" s="129">
        <v>44197</v>
      </c>
      <c r="B311" s="130">
        <v>110.65</v>
      </c>
      <c r="C311" s="124">
        <v>135.09</v>
      </c>
      <c r="D311" s="124">
        <v>163.46</v>
      </c>
      <c r="F311" s="124"/>
    </row>
    <row r="312" spans="1:7">
      <c r="A312" s="129">
        <v>44228</v>
      </c>
      <c r="B312" s="130">
        <v>113.9</v>
      </c>
      <c r="C312" s="124">
        <v>136.47999999999999</v>
      </c>
      <c r="D312" s="124">
        <v>162.4</v>
      </c>
      <c r="E312" s="130"/>
      <c r="F312" s="124"/>
      <c r="G312" s="130"/>
    </row>
    <row r="313" spans="1:7">
      <c r="A313" s="129">
        <v>44256</v>
      </c>
      <c r="B313" s="130">
        <v>114.4</v>
      </c>
      <c r="C313" s="124">
        <v>138.38999999999999</v>
      </c>
      <c r="D313" s="124">
        <v>168.62</v>
      </c>
      <c r="F313" s="124"/>
    </row>
    <row r="314" spans="1:7">
      <c r="A314" s="129">
        <v>44287</v>
      </c>
      <c r="B314" s="130">
        <v>120.88</v>
      </c>
      <c r="C314" s="124">
        <v>142.28</v>
      </c>
      <c r="D314" s="124">
        <v>170.19</v>
      </c>
      <c r="F314" s="124"/>
    </row>
    <row r="315" spans="1:7">
      <c r="A315" s="129">
        <v>44317</v>
      </c>
      <c r="B315" s="130">
        <v>119.37</v>
      </c>
      <c r="C315" s="124">
        <v>138.72</v>
      </c>
      <c r="D315" s="124">
        <v>161.44999999999999</v>
      </c>
      <c r="F315" s="124"/>
    </row>
    <row r="316" spans="1:7">
      <c r="A316" s="129">
        <v>44348</v>
      </c>
      <c r="B316" s="130">
        <v>122.02</v>
      </c>
      <c r="C316" s="124">
        <v>143.75</v>
      </c>
      <c r="D316" s="124">
        <v>163.57</v>
      </c>
      <c r="F316" s="124"/>
    </row>
    <row r="317" spans="1:7">
      <c r="A317" s="129">
        <v>44378</v>
      </c>
      <c r="B317" s="130">
        <v>122.03</v>
      </c>
      <c r="C317" s="124">
        <v>154.85</v>
      </c>
      <c r="D317" s="124">
        <v>175.39</v>
      </c>
      <c r="F317" s="124"/>
    </row>
    <row r="318" spans="1:7">
      <c r="A318" s="129">
        <v>44409</v>
      </c>
      <c r="B318" s="130">
        <v>124.45</v>
      </c>
      <c r="C318" s="124">
        <v>159.79</v>
      </c>
      <c r="D318" s="124">
        <v>174.6</v>
      </c>
      <c r="F318" s="124"/>
    </row>
    <row r="319" spans="1:7">
      <c r="A319" s="129">
        <v>44440</v>
      </c>
      <c r="B319" s="130">
        <v>124.05</v>
      </c>
      <c r="C319" s="124">
        <v>154.62</v>
      </c>
      <c r="D319" s="124">
        <v>165.81</v>
      </c>
      <c r="F319" s="124"/>
    </row>
    <row r="320" spans="1:7">
      <c r="A320" s="129">
        <v>44470</v>
      </c>
      <c r="B320" s="130">
        <v>124.33</v>
      </c>
      <c r="C320" s="124">
        <v>156.32</v>
      </c>
      <c r="D320" s="124">
        <v>164.95</v>
      </c>
      <c r="F320" s="124"/>
    </row>
    <row r="321" spans="1:6">
      <c r="A321" s="129">
        <v>44501</v>
      </c>
      <c r="B321" s="130">
        <v>133.38999999999999</v>
      </c>
      <c r="C321" s="124">
        <v>156.88999999999999</v>
      </c>
      <c r="D321" s="124">
        <v>172.18</v>
      </c>
      <c r="F321" s="124"/>
    </row>
    <row r="322" spans="1:6">
      <c r="A322" s="129">
        <v>44531</v>
      </c>
      <c r="B322" s="130">
        <v>139.36000000000001</v>
      </c>
      <c r="C322" s="124">
        <v>162.66</v>
      </c>
      <c r="D322" s="124">
        <v>179.39</v>
      </c>
      <c r="F322" s="124"/>
    </row>
    <row r="323" spans="1:6">
      <c r="A323" s="129">
        <v>44562</v>
      </c>
      <c r="B323" s="130">
        <v>137.27000000000001</v>
      </c>
      <c r="C323" s="124">
        <v>160.09</v>
      </c>
      <c r="D323" s="124">
        <v>188.95</v>
      </c>
      <c r="F323" s="124"/>
    </row>
    <row r="324" spans="1:6">
      <c r="A324" s="129">
        <v>44593</v>
      </c>
      <c r="B324" s="130">
        <v>141.32</v>
      </c>
      <c r="C324" s="124">
        <v>161.94999999999999</v>
      </c>
      <c r="D324" s="124">
        <v>197.1</v>
      </c>
      <c r="F324" s="124"/>
    </row>
    <row r="325" spans="1:6">
      <c r="A325" s="129">
        <v>44621</v>
      </c>
      <c r="B325" s="130">
        <v>139.16999999999999</v>
      </c>
      <c r="C325" s="124">
        <v>157.97</v>
      </c>
      <c r="D325" s="124">
        <v>194.92</v>
      </c>
      <c r="F325" s="124"/>
    </row>
    <row r="326" spans="1:6">
      <c r="A326" s="129">
        <v>44652</v>
      </c>
      <c r="B326" s="130">
        <v>141.66</v>
      </c>
      <c r="C326" s="124">
        <v>160.62</v>
      </c>
      <c r="D326" s="124">
        <v>194.04</v>
      </c>
      <c r="F326" s="124"/>
    </row>
    <row r="327" spans="1:6">
      <c r="A327" s="129">
        <v>44682</v>
      </c>
      <c r="B327" s="130">
        <v>141.34</v>
      </c>
      <c r="C327" s="124">
        <v>159.08000000000001</v>
      </c>
      <c r="D327" s="124">
        <v>185.49</v>
      </c>
      <c r="F327" s="124"/>
    </row>
    <row r="328" spans="1:6">
      <c r="A328" s="129">
        <v>44713</v>
      </c>
      <c r="B328" s="130">
        <v>142.78</v>
      </c>
      <c r="C328" s="124">
        <v>161.78</v>
      </c>
      <c r="D328" s="124">
        <v>185.76</v>
      </c>
      <c r="F328" s="124"/>
    </row>
    <row r="329" spans="1:6">
      <c r="A329" s="129">
        <v>44743</v>
      </c>
      <c r="B329" s="130">
        <v>142.16</v>
      </c>
      <c r="C329" s="124">
        <v>171.55</v>
      </c>
      <c r="D329" s="124">
        <v>188.13</v>
      </c>
      <c r="F329" s="124"/>
    </row>
    <row r="330" spans="1:6">
      <c r="A330" s="129">
        <v>44774</v>
      </c>
      <c r="B330" s="130">
        <v>144.07</v>
      </c>
      <c r="C330" s="124">
        <v>182.31</v>
      </c>
      <c r="D330" s="124">
        <v>197.39</v>
      </c>
      <c r="F330" s="124"/>
    </row>
    <row r="331" spans="1:6">
      <c r="A331" s="129">
        <v>44805</v>
      </c>
      <c r="B331" s="130">
        <v>144.04</v>
      </c>
      <c r="C331" s="124">
        <v>178.84</v>
      </c>
      <c r="D331" s="124">
        <v>190.4</v>
      </c>
    </row>
    <row r="332" spans="1:6">
      <c r="A332" s="129">
        <v>44835</v>
      </c>
      <c r="B332" s="130">
        <v>148.83000000000001</v>
      </c>
      <c r="C332" s="124">
        <v>174.65</v>
      </c>
      <c r="D332" s="124">
        <v>183.45</v>
      </c>
    </row>
    <row r="333" spans="1:6">
      <c r="A333" s="129">
        <v>44866</v>
      </c>
      <c r="B333" s="130">
        <v>153.62</v>
      </c>
      <c r="C333" s="124">
        <v>177.91</v>
      </c>
      <c r="D333" s="124">
        <v>190.41</v>
      </c>
    </row>
    <row r="334" spans="1:6">
      <c r="A334" s="129">
        <v>44896</v>
      </c>
      <c r="B334" s="130">
        <v>156.53</v>
      </c>
      <c r="C334" s="124">
        <v>179.93</v>
      </c>
      <c r="D334" s="124">
        <v>200.79</v>
      </c>
    </row>
    <row r="335" spans="1:6">
      <c r="A335" s="129">
        <v>44927</v>
      </c>
      <c r="B335" s="130">
        <v>156.30000000000001</v>
      </c>
      <c r="C335" s="124">
        <v>180.3</v>
      </c>
      <c r="D335" s="124">
        <v>209.79</v>
      </c>
    </row>
    <row r="336" spans="1:6">
      <c r="A336" s="129">
        <v>44958</v>
      </c>
      <c r="B336" s="130">
        <v>160.88999999999999</v>
      </c>
      <c r="C336" s="124">
        <v>184.43</v>
      </c>
      <c r="D336" s="124">
        <v>225.63</v>
      </c>
    </row>
    <row r="337" spans="1:6">
      <c r="A337" s="129">
        <v>44986</v>
      </c>
      <c r="B337" s="130">
        <v>165.56</v>
      </c>
      <c r="C337" s="124">
        <v>191.84</v>
      </c>
      <c r="D337" s="124">
        <v>236.62</v>
      </c>
    </row>
    <row r="338" spans="1:6">
      <c r="A338" s="129">
        <v>45017</v>
      </c>
      <c r="B338" s="130">
        <v>177.09</v>
      </c>
      <c r="C338" s="124">
        <v>206.97</v>
      </c>
      <c r="D338" s="124">
        <v>248.02</v>
      </c>
    </row>
    <row r="339" spans="1:6">
      <c r="A339" s="129">
        <v>45047</v>
      </c>
      <c r="B339" s="130">
        <v>175.45</v>
      </c>
      <c r="C339" s="124">
        <v>209.78</v>
      </c>
      <c r="D339" s="124">
        <v>256.25</v>
      </c>
    </row>
    <row r="340" spans="1:6">
      <c r="A340" s="129">
        <v>45078</v>
      </c>
      <c r="B340" s="130">
        <v>184.51</v>
      </c>
      <c r="C340" s="124">
        <v>225.72</v>
      </c>
      <c r="D340" s="124">
        <v>260.33</v>
      </c>
    </row>
    <row r="341" spans="1:6">
      <c r="A341" s="129">
        <v>45108</v>
      </c>
      <c r="B341" s="130">
        <v>184.25</v>
      </c>
      <c r="C341" s="124">
        <v>248.91</v>
      </c>
      <c r="D341" s="124">
        <v>277.66000000000003</v>
      </c>
    </row>
    <row r="342" spans="1:6">
      <c r="A342" s="129">
        <v>45139</v>
      </c>
      <c r="B342" s="130">
        <v>184.85</v>
      </c>
      <c r="C342" s="124">
        <v>253.1</v>
      </c>
      <c r="D342" s="124">
        <v>283.14</v>
      </c>
    </row>
    <row r="343" spans="1:6">
      <c r="A343" s="129">
        <v>45170</v>
      </c>
      <c r="B343" s="130">
        <v>183.71</v>
      </c>
      <c r="C343" s="124">
        <v>256.43</v>
      </c>
      <c r="D343" s="124">
        <v>281.77999999999997</v>
      </c>
    </row>
    <row r="344" spans="1:6">
      <c r="A344" s="129">
        <v>45200</v>
      </c>
      <c r="B344" s="130">
        <v>184.35</v>
      </c>
      <c r="C344" s="124">
        <v>247.01</v>
      </c>
      <c r="D344" s="124">
        <v>276.64999999999998</v>
      </c>
    </row>
    <row r="345" spans="1:6">
      <c r="A345" s="129">
        <v>45231</v>
      </c>
      <c r="B345" s="130">
        <v>178.76</v>
      </c>
      <c r="C345" s="124">
        <v>230.25</v>
      </c>
      <c r="D345" s="124">
        <v>273.77</v>
      </c>
    </row>
    <row r="346" spans="1:6">
      <c r="A346" s="129">
        <v>45261</v>
      </c>
      <c r="B346" s="130">
        <v>170.69</v>
      </c>
      <c r="C346" s="124">
        <v>227.82</v>
      </c>
      <c r="D346" s="124">
        <v>283.92</v>
      </c>
    </row>
    <row r="347" spans="1:6">
      <c r="A347" s="129">
        <v>45292</v>
      </c>
      <c r="B347" s="130">
        <v>174.45</v>
      </c>
      <c r="C347" s="124">
        <v>231.36</v>
      </c>
      <c r="D347" s="124">
        <v>294.83999999999997</v>
      </c>
      <c r="F347" s="130"/>
    </row>
    <row r="348" spans="1:6">
      <c r="A348" s="129">
        <v>45323</v>
      </c>
      <c r="B348" s="130">
        <v>181.1</v>
      </c>
      <c r="C348" s="124">
        <v>249.49</v>
      </c>
      <c r="D348" s="124">
        <v>312.14</v>
      </c>
    </row>
    <row r="349" spans="1:6">
      <c r="A349" s="129">
        <v>45352</v>
      </c>
      <c r="B349" s="130">
        <v>187.55</v>
      </c>
      <c r="C349" s="124">
        <v>261.12</v>
      </c>
      <c r="D349" s="124">
        <v>327.48</v>
      </c>
    </row>
    <row r="350" spans="1:6">
      <c r="A350" s="129">
        <v>45383</v>
      </c>
      <c r="B350" s="130">
        <v>0</v>
      </c>
      <c r="C350" s="124" t="s">
        <v>223</v>
      </c>
      <c r="D350" s="124" t="s">
        <v>223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250"/>
  <sheetViews>
    <sheetView workbookViewId="0">
      <pane xSplit="1" ySplit="10" topLeftCell="H111" activePane="bottomRight" state="frozen"/>
      <selection pane="topRight" activeCell="B1" sqref="B1"/>
      <selection pane="bottomLeft" activeCell="A15" sqref="A15"/>
      <selection pane="bottomRight" activeCell="P123" sqref="P123:P126"/>
    </sheetView>
  </sheetViews>
  <sheetFormatPr defaultColWidth="11.5703125" defaultRowHeight="12.75"/>
  <cols>
    <col min="1" max="1" width="13" style="118" customWidth="1"/>
    <col min="2" max="3" width="10.7109375" style="118" customWidth="1"/>
    <col min="4" max="4" width="10.85546875" style="118" customWidth="1"/>
    <col min="5" max="5" width="12.140625" style="118" customWidth="1"/>
    <col min="6" max="6" width="13.140625" style="118" customWidth="1"/>
    <col min="7" max="8" width="11.85546875" style="118" customWidth="1"/>
    <col min="9" max="9" width="12.7109375" style="118" customWidth="1"/>
    <col min="10" max="10" width="5" style="118" bestFit="1" customWidth="1"/>
    <col min="11" max="11" width="8.140625" style="118" customWidth="1"/>
    <col min="12" max="12" width="12" customWidth="1"/>
    <col min="13" max="13" width="10.140625" customWidth="1"/>
    <col min="14" max="16" width="8" customWidth="1"/>
    <col min="17" max="18" width="10.85546875" customWidth="1"/>
    <col min="19" max="20" width="9.140625" customWidth="1"/>
    <col min="22" max="22" width="9.140625" customWidth="1"/>
  </cols>
  <sheetData>
    <row r="1" spans="1:18" ht="14.65" customHeight="1">
      <c r="A1" s="1" t="s">
        <v>19</v>
      </c>
      <c r="B1" s="1"/>
      <c r="C1" s="1"/>
      <c r="D1" s="1"/>
      <c r="E1" s="1"/>
      <c r="F1" s="1"/>
      <c r="K1"/>
      <c r="O1" s="2"/>
      <c r="Q1" t="s">
        <v>80</v>
      </c>
    </row>
    <row r="2" spans="1:18" ht="14.65" customHeight="1">
      <c r="A2" s="1" t="s">
        <v>7</v>
      </c>
      <c r="B2" s="1" t="s">
        <v>8</v>
      </c>
      <c r="C2" s="1"/>
      <c r="D2" s="1" t="s">
        <v>8</v>
      </c>
      <c r="E2" s="1" t="s">
        <v>22</v>
      </c>
      <c r="F2" s="1" t="s">
        <v>22</v>
      </c>
      <c r="I2" s="47"/>
      <c r="O2" s="2" t="s">
        <v>20</v>
      </c>
    </row>
    <row r="3" spans="1:18">
      <c r="A3" s="1" t="s">
        <v>9</v>
      </c>
      <c r="B3" s="5" t="s">
        <v>209</v>
      </c>
      <c r="C3" s="5"/>
      <c r="D3" s="5" t="s">
        <v>209</v>
      </c>
      <c r="E3" s="5" t="s">
        <v>208</v>
      </c>
      <c r="F3" s="5" t="s">
        <v>208</v>
      </c>
      <c r="G3" s="118" t="s">
        <v>23</v>
      </c>
      <c r="L3" s="1" t="s">
        <v>6</v>
      </c>
      <c r="M3" s="3">
        <v>2022</v>
      </c>
      <c r="O3" s="2" t="s">
        <v>21</v>
      </c>
      <c r="P3" s="4">
        <v>3</v>
      </c>
      <c r="Q3" s="1"/>
      <c r="R3" s="1"/>
    </row>
    <row r="4" spans="1:18">
      <c r="A4" s="1" t="s">
        <v>10</v>
      </c>
      <c r="B4" s="5" t="s">
        <v>24</v>
      </c>
      <c r="C4" s="5"/>
      <c r="D4" s="5" t="s">
        <v>24</v>
      </c>
      <c r="E4" s="5" t="s">
        <v>25</v>
      </c>
      <c r="F4" s="5" t="s">
        <v>25</v>
      </c>
      <c r="G4" s="1"/>
      <c r="H4" s="1"/>
      <c r="I4" s="1"/>
      <c r="Q4" s="5"/>
      <c r="R4" s="5"/>
    </row>
    <row r="5" spans="1:18" s="1" customFormat="1">
      <c r="A5" s="1" t="s">
        <v>12</v>
      </c>
      <c r="B5" s="1" t="s">
        <v>26</v>
      </c>
      <c r="D5" s="1" t="s">
        <v>27</v>
      </c>
      <c r="E5" s="1" t="s">
        <v>24</v>
      </c>
      <c r="F5" s="1" t="s">
        <v>28</v>
      </c>
    </row>
    <row r="6" spans="1:18" s="1" customFormat="1">
      <c r="A6" s="1" t="s">
        <v>29</v>
      </c>
      <c r="B6" s="1">
        <v>145</v>
      </c>
      <c r="C6" s="1" t="s">
        <v>30</v>
      </c>
      <c r="D6" s="1">
        <v>145</v>
      </c>
      <c r="E6" s="1">
        <v>130</v>
      </c>
      <c r="F6" s="1">
        <v>130</v>
      </c>
      <c r="G6" s="1" t="s">
        <v>30</v>
      </c>
      <c r="H6" s="1" t="s">
        <v>30</v>
      </c>
      <c r="I6" s="1" t="s">
        <v>30</v>
      </c>
    </row>
    <row r="7" spans="1:18" ht="15.75" thickBot="1">
      <c r="A7" s="1" t="s">
        <v>14</v>
      </c>
      <c r="B7" s="119">
        <v>45407.564497569445</v>
      </c>
      <c r="C7" s="119"/>
      <c r="D7" s="119">
        <v>45407.564497569445</v>
      </c>
      <c r="E7" s="120">
        <v>45408.617920138888</v>
      </c>
      <c r="F7" s="120">
        <v>45408.617920138888</v>
      </c>
      <c r="G7" s="120"/>
      <c r="J7" s="119"/>
      <c r="K7" s="119"/>
      <c r="L7" s="6"/>
      <c r="M7" s="7" t="s">
        <v>31</v>
      </c>
      <c r="N7" s="8"/>
      <c r="O7" s="9"/>
      <c r="P7" s="10"/>
      <c r="Q7" s="11"/>
      <c r="R7" s="12"/>
    </row>
    <row r="8" spans="1:18">
      <c r="B8" s="13"/>
      <c r="C8" s="52"/>
      <c r="D8" s="13"/>
      <c r="E8" s="121"/>
      <c r="F8" s="121"/>
      <c r="G8" s="13"/>
      <c r="I8" s="13"/>
      <c r="J8" s="13"/>
      <c r="K8" s="13"/>
      <c r="L8" s="14" t="s">
        <v>33</v>
      </c>
      <c r="M8" s="15"/>
      <c r="N8" s="16"/>
      <c r="O8" s="16"/>
      <c r="P8" s="17"/>
      <c r="Q8" s="17"/>
      <c r="R8" s="18"/>
    </row>
    <row r="9" spans="1:18" ht="38.25">
      <c r="A9" s="126"/>
      <c r="B9" s="121" t="s">
        <v>34</v>
      </c>
      <c r="C9" s="121" t="s">
        <v>35</v>
      </c>
      <c r="D9" s="121" t="s">
        <v>36</v>
      </c>
      <c r="E9" s="121" t="s">
        <v>36</v>
      </c>
      <c r="F9" s="121" t="s">
        <v>37</v>
      </c>
      <c r="G9" s="121" t="s">
        <v>16</v>
      </c>
      <c r="H9" s="121" t="s">
        <v>17</v>
      </c>
      <c r="I9" s="121" t="s">
        <v>18</v>
      </c>
      <c r="J9" s="13"/>
      <c r="K9" s="13"/>
      <c r="L9" s="19" t="s">
        <v>34</v>
      </c>
      <c r="M9" s="20" t="s">
        <v>35</v>
      </c>
      <c r="N9" s="21" t="s">
        <v>16</v>
      </c>
      <c r="O9" s="21"/>
      <c r="P9" s="21"/>
      <c r="Q9" s="20" t="s">
        <v>17</v>
      </c>
      <c r="R9" s="22" t="s">
        <v>18</v>
      </c>
    </row>
    <row r="10" spans="1:18" ht="13.5" thickBot="1">
      <c r="A10" s="126" t="s">
        <v>38</v>
      </c>
      <c r="B10" s="121"/>
      <c r="C10" s="121"/>
      <c r="D10" s="121"/>
      <c r="E10" s="121" t="s">
        <v>32</v>
      </c>
      <c r="F10" s="121" t="s">
        <v>32</v>
      </c>
      <c r="G10" s="121"/>
      <c r="H10" s="121"/>
      <c r="I10" s="121"/>
      <c r="J10" s="121"/>
      <c r="K10" s="121"/>
      <c r="L10" s="23"/>
      <c r="M10" s="24"/>
      <c r="N10" s="25" t="s">
        <v>39</v>
      </c>
      <c r="O10" s="26" t="s">
        <v>40</v>
      </c>
      <c r="P10" s="27" t="s">
        <v>41</v>
      </c>
      <c r="Q10" s="24"/>
      <c r="R10" s="28"/>
    </row>
    <row r="11" spans="1:18">
      <c r="A11" s="126">
        <v>35125</v>
      </c>
      <c r="B11" s="122">
        <v>8971.6999999999989</v>
      </c>
      <c r="C11" s="122">
        <f t="shared" ref="C11:C19" si="0">IF(B11=0,0,D11/B11*1000)</f>
        <v>702.54243900264169</v>
      </c>
      <c r="D11" s="118">
        <v>6303</v>
      </c>
      <c r="F11" s="123">
        <v>16.824747429796318</v>
      </c>
      <c r="G11" s="124">
        <f ca="1">IF(OFFSET('Mnth to Qtr'!B$25,$J11,0)=0,"",AVERAGE(OFFSET('Mnth to Qtr'!B$25,$J11,0):OFFSET('Mnth to Qtr'!B$23,$J11,0)))</f>
        <v>63.06091024369946</v>
      </c>
      <c r="H11" s="124">
        <f ca="1">IF(OFFSET('Mnth to Qtr'!C$25,$J11,0)="","",AVERAGE(OFFSET('Mnth to Qtr'!C$25,$J11,0):OFFSET('Mnth to Qtr'!C$23,$J11,0)))</f>
        <v>63.086833333333324</v>
      </c>
      <c r="I11" s="124" t="str">
        <f ca="1">IF(OFFSET('Mnth to Qtr'!D$25,$J11,0)="","",AVERAGE(OFFSET('Mnth to Qtr'!D$25,$J11,0):OFFSET('Mnth to Qtr'!D$23,$J11,0)))</f>
        <v/>
      </c>
      <c r="J11" s="73">
        <f t="shared" ref="J11:J18" si="1">J12-3</f>
        <v>-12</v>
      </c>
      <c r="K11" s="121"/>
      <c r="M11" s="1"/>
    </row>
    <row r="12" spans="1:18">
      <c r="A12" s="126">
        <v>35217</v>
      </c>
      <c r="B12" s="122">
        <v>9588.5999999999985</v>
      </c>
      <c r="C12" s="122">
        <f t="shared" si="0"/>
        <v>692.69757837431951</v>
      </c>
      <c r="D12" s="118">
        <v>6642</v>
      </c>
      <c r="F12" s="123">
        <v>17.402841066004978</v>
      </c>
      <c r="G12" s="124">
        <f ca="1">IF(OFFSET('Mnth to Qtr'!B$25,$J12,0)=0,"",AVERAGE(OFFSET('Mnth to Qtr'!B$25,$J12,0):OFFSET('Mnth to Qtr'!B$23,$J12,0)))</f>
        <v>60.339573987649111</v>
      </c>
      <c r="H12" s="124">
        <f ca="1">IF(OFFSET('Mnth to Qtr'!C$25,$J12,0)="","",AVERAGE(OFFSET('Mnth to Qtr'!C$25,$J12,0):OFFSET('Mnth to Qtr'!C$23,$J12,0)))</f>
        <v>59.909166666666664</v>
      </c>
      <c r="I12" s="124" t="str">
        <f ca="1">IF(OFFSET('Mnth to Qtr'!D$25,$J12,0)="","",AVERAGE(OFFSET('Mnth to Qtr'!D$25,$J12,0):OFFSET('Mnth to Qtr'!D$23,$J12,0)))</f>
        <v/>
      </c>
      <c r="J12" s="73">
        <f t="shared" si="1"/>
        <v>-9</v>
      </c>
      <c r="K12" s="121"/>
      <c r="M12" s="1"/>
    </row>
    <row r="13" spans="1:18">
      <c r="A13" s="126">
        <v>35309</v>
      </c>
      <c r="B13" s="122">
        <v>9122.9</v>
      </c>
      <c r="C13" s="122">
        <f t="shared" si="0"/>
        <v>700.43516864155038</v>
      </c>
      <c r="D13" s="118">
        <v>6390</v>
      </c>
      <c r="F13" s="123">
        <v>16.887521456441661</v>
      </c>
      <c r="G13" s="124">
        <f ca="1">IF(OFFSET('Mnth to Qtr'!B$25,$J13,0)=0,"",AVERAGE(OFFSET('Mnth to Qtr'!B$25,$J13,0):OFFSET('Mnth to Qtr'!B$23,$J13,0)))</f>
        <v>67.307382762089674</v>
      </c>
      <c r="H13" s="124">
        <f ca="1">IF(OFFSET('Mnth to Qtr'!C$25,$J13,0)="","",AVERAGE(OFFSET('Mnth to Qtr'!C$25,$J13,0):OFFSET('Mnth to Qtr'!C$23,$J13,0)))</f>
        <v>67.300416666666663</v>
      </c>
      <c r="I13" s="124" t="str">
        <f ca="1">IF(OFFSET('Mnth to Qtr'!D$25,$J13,0)="","",AVERAGE(OFFSET('Mnth to Qtr'!D$25,$J13,0):OFFSET('Mnth to Qtr'!D$23,$J13,0)))</f>
        <v/>
      </c>
      <c r="J13" s="73">
        <f t="shared" si="1"/>
        <v>-6</v>
      </c>
      <c r="K13" s="121"/>
      <c r="M13" s="1"/>
    </row>
    <row r="14" spans="1:18">
      <c r="A14" s="126">
        <v>35400</v>
      </c>
      <c r="B14" s="122">
        <v>8900.2999999999993</v>
      </c>
      <c r="C14" s="122">
        <f t="shared" si="0"/>
        <v>683.57246384953316</v>
      </c>
      <c r="D14" s="118">
        <v>6084</v>
      </c>
      <c r="F14" s="123">
        <v>16.007054007936524</v>
      </c>
      <c r="G14" s="124">
        <f ca="1">IF(OFFSET('Mnth to Qtr'!B$25,$J14,0)=0,"",AVERAGE(OFFSET('Mnth to Qtr'!B$25,$J14,0):OFFSET('Mnth to Qtr'!B$23,$J14,0)))</f>
        <v>69.388737985678915</v>
      </c>
      <c r="H14" s="124">
        <f ca="1">IF(OFFSET('Mnth to Qtr'!C$25,$J14,0)="","",AVERAGE(OFFSET('Mnth to Qtr'!C$25,$J14,0):OFFSET('Mnth to Qtr'!C$23,$J14,0)))</f>
        <v>66.177361111111111</v>
      </c>
      <c r="I14" s="124" t="str">
        <f ca="1">IF(OFFSET('Mnth to Qtr'!D$25,$J14,0)="","",AVERAGE(OFFSET('Mnth to Qtr'!D$25,$J14,0):OFFSET('Mnth to Qtr'!D$23,$J14,0)))</f>
        <v/>
      </c>
      <c r="J14" s="73">
        <f t="shared" si="1"/>
        <v>-3</v>
      </c>
      <c r="K14" s="121"/>
      <c r="M14" s="1"/>
    </row>
    <row r="15" spans="1:18">
      <c r="A15" s="126">
        <v>35490</v>
      </c>
      <c r="B15" s="122">
        <v>8899.2000000000007</v>
      </c>
      <c r="C15" s="122">
        <f t="shared" si="0"/>
        <v>686.24145990650845</v>
      </c>
      <c r="D15" s="118">
        <v>6107</v>
      </c>
      <c r="F15" s="123">
        <v>16.013546780956496</v>
      </c>
      <c r="G15" s="124">
        <f ca="1">IF(OFFSET('Mnth to Qtr'!B$25,$J15,0)=0,"",AVERAGE(OFFSET('Mnth to Qtr'!B$25,$J15,0):OFFSET('Mnth to Qtr'!B$23,$J15,0)))</f>
        <v>66.033602465762925</v>
      </c>
      <c r="H15" s="124">
        <f ca="1">IF(OFFSET('Mnth to Qtr'!C$25,$J15,0)="","",AVERAGE(OFFSET('Mnth to Qtr'!C$25,$J15,0):OFFSET('Mnth to Qtr'!C$23,$J15,0)))</f>
        <v>84.813750000000013</v>
      </c>
      <c r="I15" s="124" t="str">
        <f ca="1">IF(OFFSET('Mnth to Qtr'!D$25,$J15,0)="","",AVERAGE(OFFSET('Mnth to Qtr'!D$25,$J15,0):OFFSET('Mnth to Qtr'!D$23,$J15,0)))</f>
        <v/>
      </c>
      <c r="J15" s="73">
        <f t="shared" si="1"/>
        <v>0</v>
      </c>
      <c r="K15" s="13"/>
      <c r="M15" s="1"/>
    </row>
    <row r="16" spans="1:18" s="1" customFormat="1">
      <c r="A16" s="126">
        <v>35582</v>
      </c>
      <c r="B16" s="122">
        <v>9300.5999999999985</v>
      </c>
      <c r="C16" s="122">
        <f t="shared" si="0"/>
        <v>689.84796679784108</v>
      </c>
      <c r="D16" s="118">
        <v>6416</v>
      </c>
      <c r="E16" s="118"/>
      <c r="F16" s="123">
        <v>16.994812184254876</v>
      </c>
      <c r="G16" s="124">
        <f ca="1">IF(OFFSET('Mnth to Qtr'!B$25,$J16,0)=0,"",AVERAGE(OFFSET('Mnth to Qtr'!B$25,$J16,0):OFFSET('Mnth to Qtr'!B$23,$J16,0)))</f>
        <v>66.265933076513534</v>
      </c>
      <c r="H16" s="124">
        <f ca="1">IF(OFFSET('Mnth to Qtr'!C$25,$J16,0)="","",AVERAGE(OFFSET('Mnth to Qtr'!C$25,$J16,0):OFFSET('Mnth to Qtr'!C$23,$J16,0)))</f>
        <v>94.904722222222219</v>
      </c>
      <c r="I16" s="124" t="str">
        <f ca="1">IF(OFFSET('Mnth to Qtr'!D$25,$J16,0)="","",AVERAGE(OFFSET('Mnth to Qtr'!D$25,$J16,0):OFFSET('Mnth to Qtr'!D$23,$J16,0)))</f>
        <v/>
      </c>
      <c r="J16" s="73">
        <f t="shared" si="1"/>
        <v>3</v>
      </c>
      <c r="K16" s="5"/>
      <c r="L16"/>
      <c r="N16"/>
      <c r="O16"/>
      <c r="P16"/>
      <c r="Q16"/>
      <c r="R16"/>
    </row>
    <row r="17" spans="1:18">
      <c r="A17" s="126">
        <v>35674</v>
      </c>
      <c r="B17" s="122">
        <v>9256.2999999999993</v>
      </c>
      <c r="C17" s="122">
        <f t="shared" si="0"/>
        <v>713.35198729513957</v>
      </c>
      <c r="D17" s="118">
        <v>6603</v>
      </c>
      <c r="F17" s="123">
        <v>16.739604297055592</v>
      </c>
      <c r="G17" s="124">
        <f ca="1">IF(OFFSET('Mnth to Qtr'!B$25,$J17,0)=0,"",AVERAGE(OFFSET('Mnth to Qtr'!B$25,$J17,0):OFFSET('Mnth to Qtr'!B$23,$J17,0)))</f>
        <v>65.069479687736248</v>
      </c>
      <c r="H17" s="124">
        <f ca="1">IF(OFFSET('Mnth to Qtr'!C$25,$J17,0)="","",AVERAGE(OFFSET('Mnth to Qtr'!C$25,$J17,0):OFFSET('Mnth to Qtr'!C$23,$J17,0)))</f>
        <v>102.2688888888889</v>
      </c>
      <c r="I17" s="124" t="str">
        <f ca="1">IF(OFFSET('Mnth to Qtr'!D$25,$J17,0)="","",AVERAGE(OFFSET('Mnth to Qtr'!D$25,$J17,0):OFFSET('Mnth to Qtr'!D$23,$J17,0)))</f>
        <v/>
      </c>
      <c r="J17" s="73">
        <f t="shared" si="1"/>
        <v>6</v>
      </c>
      <c r="K17" s="1"/>
      <c r="M17" s="1"/>
    </row>
    <row r="18" spans="1:18">
      <c r="A18" s="126">
        <v>35765</v>
      </c>
      <c r="B18" s="122">
        <v>8861.4</v>
      </c>
      <c r="C18" s="122">
        <f t="shared" si="0"/>
        <v>706.20895118152896</v>
      </c>
      <c r="D18" s="118">
        <v>6258</v>
      </c>
      <c r="F18" s="123">
        <v>15.932516420077341</v>
      </c>
      <c r="G18" s="124">
        <f ca="1">IF(OFFSET('Mnth to Qtr'!B$25,$J18,0)=0,"",AVERAGE(OFFSET('Mnth to Qtr'!B$25,$J18,0):OFFSET('Mnth to Qtr'!B$23,$J18,0)))</f>
        <v>66.775674757070306</v>
      </c>
      <c r="H18" s="124">
        <f ca="1">IF(OFFSET('Mnth to Qtr'!C$25,$J18,0)="","",AVERAGE(OFFSET('Mnth to Qtr'!C$25,$J18,0):OFFSET('Mnth to Qtr'!C$23,$J18,0)))</f>
        <v>95.054000000000016</v>
      </c>
      <c r="I18" s="124" t="str">
        <f ca="1">IF(OFFSET('Mnth to Qtr'!D$25,$J18,0)="","",AVERAGE(OFFSET('Mnth to Qtr'!D$25,$J18,0):OFFSET('Mnth to Qtr'!D$23,$J18,0)))</f>
        <v/>
      </c>
      <c r="J18" s="73">
        <f t="shared" si="1"/>
        <v>9</v>
      </c>
      <c r="M18" s="1"/>
    </row>
    <row r="19" spans="1:18">
      <c r="A19" s="126">
        <v>35855</v>
      </c>
      <c r="B19" s="122">
        <v>8680.7000000000007</v>
      </c>
      <c r="C19" s="122">
        <f t="shared" si="0"/>
        <v>715.95608649072074</v>
      </c>
      <c r="D19" s="118">
        <v>6215</v>
      </c>
      <c r="F19" s="123">
        <v>16.362761038185923</v>
      </c>
      <c r="G19" s="124">
        <f ca="1">IF(OFFSET('Mnth to Qtr'!B$25,$J19,0)=0,"",AVERAGE(OFFSET('Mnth to Qtr'!B$25,$J19,0):OFFSET('Mnth to Qtr'!B$23,$J19,0)))</f>
        <v>62.325340296314998</v>
      </c>
      <c r="H19" s="124">
        <f ca="1">IF(OFFSET('Mnth to Qtr'!C$25,$J19,0)="","",AVERAGE(OFFSET('Mnth to Qtr'!C$25,$J19,0):OFFSET('Mnth to Qtr'!C$23,$J19,0)))</f>
        <v>99.307083333333324</v>
      </c>
      <c r="I19" s="124" t="str">
        <f ca="1">IF(OFFSET('Mnth to Qtr'!D$25,$J19,0)="","",AVERAGE(OFFSET('Mnth to Qtr'!D$25,$J19,0):OFFSET('Mnth to Qtr'!D$23,$J19,0)))</f>
        <v/>
      </c>
      <c r="J19" s="73">
        <v>12</v>
      </c>
      <c r="K19" s="73"/>
      <c r="L19" s="29"/>
      <c r="N19" s="30"/>
      <c r="O19" s="30"/>
      <c r="P19" s="30"/>
      <c r="Q19" s="31"/>
      <c r="R19" s="32"/>
    </row>
    <row r="20" spans="1:18">
      <c r="A20" s="126">
        <v>35947</v>
      </c>
      <c r="B20" s="122">
        <v>8992.4</v>
      </c>
      <c r="C20" s="122">
        <f t="shared" ref="C20:C52" si="2">IF(B20=0,0,D20/B20*1000)</f>
        <v>718.49561852230784</v>
      </c>
      <c r="D20" s="118">
        <v>6461</v>
      </c>
      <c r="F20" s="123">
        <v>16.854227665936133</v>
      </c>
      <c r="G20" s="124">
        <f ca="1">IF(OFFSET('Mnth to Qtr'!B$25,$J20,0)=0,"",AVERAGE(OFFSET('Mnth to Qtr'!B$25,$J20,0):OFFSET('Mnth to Qtr'!B$23,$J20,0)))</f>
        <v>64.250725461262121</v>
      </c>
      <c r="H20" s="124">
        <f ca="1">IF(OFFSET('Mnth to Qtr'!C$25,$J20,0)="","",AVERAGE(OFFSET('Mnth to Qtr'!C$25,$J20,0):OFFSET('Mnth to Qtr'!C$23,$J20,0)))</f>
        <v>98.667583333333326</v>
      </c>
      <c r="I20" s="124" t="str">
        <f ca="1">IF(OFFSET('Mnth to Qtr'!D$25,$J20,0)="","",AVERAGE(OFFSET('Mnth to Qtr'!D$25,$J20,0):OFFSET('Mnth to Qtr'!D$23,$J20,0)))</f>
        <v/>
      </c>
      <c r="J20" s="73">
        <f t="shared" ref="J20:J83" si="3">J19+3</f>
        <v>15</v>
      </c>
      <c r="K20" s="73"/>
      <c r="L20" s="29"/>
      <c r="N20" s="30"/>
      <c r="O20" s="30"/>
      <c r="P20" s="30"/>
      <c r="Q20" s="31"/>
      <c r="R20" s="32"/>
    </row>
    <row r="21" spans="1:18">
      <c r="A21" s="126">
        <v>36039</v>
      </c>
      <c r="B21" s="122">
        <v>9070.2000000000007</v>
      </c>
      <c r="C21" s="122">
        <f t="shared" si="2"/>
        <v>731.84714780269439</v>
      </c>
      <c r="D21" s="118">
        <v>6638</v>
      </c>
      <c r="F21" s="123">
        <v>17.133553049992717</v>
      </c>
      <c r="G21" s="124">
        <f ca="1">IF(OFFSET('Mnth to Qtr'!B$25,$J21,0)=0,"",AVERAGE(OFFSET('Mnth to Qtr'!B$25,$J21,0):OFFSET('Mnth to Qtr'!B$23,$J21,0)))</f>
        <v>59.038559172894765</v>
      </c>
      <c r="H21" s="124">
        <f ca="1">IF(OFFSET('Mnth to Qtr'!C$25,$J21,0)="","",AVERAGE(OFFSET('Mnth to Qtr'!C$25,$J21,0):OFFSET('Mnth to Qtr'!C$23,$J21,0)))</f>
        <v>82.202361111111102</v>
      </c>
      <c r="I21" s="124" t="str">
        <f ca="1">IF(OFFSET('Mnth to Qtr'!D$25,$J21,0)="","",AVERAGE(OFFSET('Mnth to Qtr'!D$25,$J21,0):OFFSET('Mnth to Qtr'!D$23,$J21,0)))</f>
        <v/>
      </c>
      <c r="J21" s="73">
        <f t="shared" si="3"/>
        <v>18</v>
      </c>
      <c r="K21" s="73"/>
      <c r="L21" s="29"/>
      <c r="N21" s="30"/>
      <c r="O21" s="30"/>
      <c r="P21" s="30"/>
      <c r="Q21" s="31"/>
      <c r="R21" s="32"/>
    </row>
    <row r="22" spans="1:18">
      <c r="A22" s="126">
        <v>36130</v>
      </c>
      <c r="B22" s="122">
        <v>8721.6</v>
      </c>
      <c r="C22" s="122">
        <f t="shared" si="2"/>
        <v>726.81618051733619</v>
      </c>
      <c r="D22" s="118">
        <v>6339</v>
      </c>
      <c r="F22" s="123">
        <v>16.326483555818363</v>
      </c>
      <c r="G22" s="124">
        <f ca="1">IF(OFFSET('Mnth to Qtr'!B$25,$J22,0)=0,"",AVERAGE(OFFSET('Mnth to Qtr'!B$25,$J22,0):OFFSET('Mnth to Qtr'!B$23,$J22,0)))</f>
        <v>61.137415351942458</v>
      </c>
      <c r="H22" s="124">
        <f ca="1">IF(OFFSET('Mnth to Qtr'!C$25,$J22,0)="","",AVERAGE(OFFSET('Mnth to Qtr'!C$25,$J22,0):OFFSET('Mnth to Qtr'!C$23,$J22,0)))</f>
        <v>87.730555555555554</v>
      </c>
      <c r="I22" s="124" t="str">
        <f ca="1">IF(OFFSET('Mnth to Qtr'!D$25,$J22,0)="","",AVERAGE(OFFSET('Mnth to Qtr'!D$25,$J22,0):OFFSET('Mnth to Qtr'!D$23,$J22,0)))</f>
        <v/>
      </c>
      <c r="J22" s="73">
        <f t="shared" si="3"/>
        <v>21</v>
      </c>
      <c r="K22" s="73"/>
      <c r="L22" s="29"/>
      <c r="N22" s="30"/>
      <c r="O22" s="30"/>
      <c r="P22" s="30"/>
      <c r="Q22" s="31"/>
      <c r="R22" s="32"/>
    </row>
    <row r="23" spans="1:18">
      <c r="A23" s="126">
        <v>36220</v>
      </c>
      <c r="B23" s="122">
        <v>8734.2000000000007</v>
      </c>
      <c r="C23" s="122">
        <f t="shared" si="2"/>
        <v>732.63721920725425</v>
      </c>
      <c r="D23" s="118">
        <v>6399</v>
      </c>
      <c r="F23" s="123">
        <v>16.331977062988127</v>
      </c>
      <c r="G23" s="124">
        <f ca="1">IF(OFFSET('Mnth to Qtr'!B$25,$J23,0)=0,"",AVERAGE(OFFSET('Mnth to Qtr'!B$25,$J23,0):OFFSET('Mnth to Qtr'!B$23,$J23,0)))</f>
        <v>62.970756885181096</v>
      </c>
      <c r="H23" s="124">
        <f ca="1">IF(OFFSET('Mnth to Qtr'!C$25,$J23,0)="","",AVERAGE(OFFSET('Mnth to Qtr'!C$25,$J23,0):OFFSET('Mnth to Qtr'!C$23,$J23,0)))</f>
        <v>97.392416666666676</v>
      </c>
      <c r="I23" s="124" t="str">
        <f ca="1">IF(OFFSET('Mnth to Qtr'!D$25,$J23,0)="","",AVERAGE(OFFSET('Mnth to Qtr'!D$25,$J23,0):OFFSET('Mnth to Qtr'!D$23,$J23,0)))</f>
        <v/>
      </c>
      <c r="J23" s="73">
        <f t="shared" si="3"/>
        <v>24</v>
      </c>
      <c r="K23" s="73"/>
      <c r="L23" s="29"/>
      <c r="N23" s="30"/>
      <c r="O23" s="30"/>
      <c r="P23" s="30"/>
      <c r="Q23" s="31"/>
      <c r="R23" s="32"/>
    </row>
    <row r="24" spans="1:18">
      <c r="A24" s="126">
        <v>36312</v>
      </c>
      <c r="B24" s="122">
        <v>9174.6</v>
      </c>
      <c r="C24" s="122">
        <f t="shared" si="2"/>
        <v>722.32031914197887</v>
      </c>
      <c r="D24" s="118">
        <v>6627</v>
      </c>
      <c r="F24" s="123">
        <v>17.370655154966151</v>
      </c>
      <c r="G24" s="124">
        <f ca="1">IF(OFFSET('Mnth to Qtr'!B$25,$J24,0)=0,"",AVERAGE(OFFSET('Mnth to Qtr'!B$25,$J24,0):OFFSET('Mnth to Qtr'!B$23,$J24,0)))</f>
        <v>65.364430785372335</v>
      </c>
      <c r="H24" s="124">
        <f ca="1">IF(OFFSET('Mnth to Qtr'!C$25,$J24,0)="","",AVERAGE(OFFSET('Mnth to Qtr'!C$25,$J24,0):OFFSET('Mnth to Qtr'!C$23,$J24,0)))</f>
        <v>94.157500000000013</v>
      </c>
      <c r="I24" s="124" t="str">
        <f ca="1">IF(OFFSET('Mnth to Qtr'!D$25,$J24,0)="","",AVERAGE(OFFSET('Mnth to Qtr'!D$25,$J24,0):OFFSET('Mnth to Qtr'!D$23,$J24,0)))</f>
        <v/>
      </c>
      <c r="J24" s="73">
        <f t="shared" si="3"/>
        <v>27</v>
      </c>
      <c r="K24" s="73"/>
      <c r="L24" s="29"/>
      <c r="N24" s="30"/>
      <c r="O24" s="30"/>
      <c r="P24" s="30"/>
      <c r="Q24" s="31"/>
      <c r="R24" s="32"/>
    </row>
    <row r="25" spans="1:18">
      <c r="A25" s="126">
        <v>36404</v>
      </c>
      <c r="B25" s="122">
        <v>9332.2000000000007</v>
      </c>
      <c r="C25" s="122">
        <f t="shared" si="2"/>
        <v>732.73183172242341</v>
      </c>
      <c r="D25" s="118">
        <v>6838</v>
      </c>
      <c r="F25" s="123">
        <v>17.418879800112915</v>
      </c>
      <c r="G25" s="124">
        <f ca="1">IF(OFFSET('Mnth to Qtr'!B$25,$J25,0)=0,"",AVERAGE(OFFSET('Mnth to Qtr'!B$25,$J25,0):OFFSET('Mnth to Qtr'!B$23,$J25,0)))</f>
        <v>65.155371522795264</v>
      </c>
      <c r="H25" s="124">
        <f ca="1">IF(OFFSET('Mnth to Qtr'!C$25,$J25,0)="","",AVERAGE(OFFSET('Mnth to Qtr'!C$25,$J25,0):OFFSET('Mnth to Qtr'!C$23,$J25,0)))</f>
        <v>97.912277777777774</v>
      </c>
      <c r="I25" s="124" t="str">
        <f ca="1">IF(OFFSET('Mnth to Qtr'!D$25,$J25,0)="","",AVERAGE(OFFSET('Mnth to Qtr'!D$25,$J25,0):OFFSET('Mnth to Qtr'!D$23,$J25,0)))</f>
        <v/>
      </c>
      <c r="J25" s="73">
        <f t="shared" si="3"/>
        <v>30</v>
      </c>
      <c r="K25" s="73"/>
      <c r="L25" s="29"/>
      <c r="N25" s="30"/>
      <c r="O25" s="30"/>
      <c r="P25" s="30"/>
      <c r="Q25" s="31"/>
      <c r="R25" s="32"/>
    </row>
    <row r="26" spans="1:18">
      <c r="A26" s="126">
        <v>36495</v>
      </c>
      <c r="B26" s="122">
        <v>8908.9000000000015</v>
      </c>
      <c r="C26" s="122">
        <f t="shared" si="2"/>
        <v>732.07691185219255</v>
      </c>
      <c r="D26" s="118">
        <v>6522</v>
      </c>
      <c r="F26" s="123">
        <v>16.380320706565072</v>
      </c>
      <c r="G26" s="124">
        <f ca="1">IF(OFFSET('Mnth to Qtr'!B$25,$J26,0)=0,"",AVERAGE(OFFSET('Mnth to Qtr'!B$25,$J26,0):OFFSET('Mnth to Qtr'!B$23,$J26,0)))</f>
        <v>69.537070183339253</v>
      </c>
      <c r="H26" s="124">
        <f ca="1">IF(OFFSET('Mnth to Qtr'!C$25,$J26,0)="","",AVERAGE(OFFSET('Mnth to Qtr'!C$25,$J26,0):OFFSET('Mnth to Qtr'!C$23,$J26,0)))</f>
        <v>105.16966666666667</v>
      </c>
      <c r="I26" s="124" t="str">
        <f ca="1">IF(OFFSET('Mnth to Qtr'!D$25,$J26,0)="","",AVERAGE(OFFSET('Mnth to Qtr'!D$25,$J26,0):OFFSET('Mnth to Qtr'!D$23,$J26,0)))</f>
        <v/>
      </c>
      <c r="J26" s="73">
        <f t="shared" si="3"/>
        <v>33</v>
      </c>
      <c r="K26" s="73"/>
      <c r="L26" s="29"/>
      <c r="N26" s="30"/>
      <c r="O26" s="30"/>
      <c r="P26" s="30"/>
      <c r="Q26" s="31"/>
      <c r="R26" s="32"/>
    </row>
    <row r="27" spans="1:18">
      <c r="A27" s="126">
        <v>36586</v>
      </c>
      <c r="B27" s="122">
        <v>9004.3000000000011</v>
      </c>
      <c r="C27" s="122">
        <f t="shared" si="2"/>
        <v>738.86920693446461</v>
      </c>
      <c r="D27" s="118">
        <v>6653</v>
      </c>
      <c r="F27" s="123">
        <v>16.69780045026728</v>
      </c>
      <c r="G27" s="124">
        <f ca="1">IF(OFFSET('Mnth to Qtr'!B$25,$J27,0)=0,"",AVERAGE(OFFSET('Mnth to Qtr'!B$25,$J27,0):OFFSET('Mnth to Qtr'!B$23,$J27,0)))</f>
        <v>69.665340645673538</v>
      </c>
      <c r="H27" s="124">
        <f ca="1">IF(OFFSET('Mnth to Qtr'!C$25,$J27,0)="","",AVERAGE(OFFSET('Mnth to Qtr'!C$25,$J27,0):OFFSET('Mnth to Qtr'!C$23,$J27,0)))</f>
        <v>86.023333333333326</v>
      </c>
      <c r="I27" s="124">
        <f ca="1">IF(OFFSET('Mnth to Qtr'!D$25,$J27,0)="","",AVERAGE(OFFSET('Mnth to Qtr'!D$25,$J27,0):OFFSET('Mnth to Qtr'!D$23,$J27,0)))</f>
        <v>100.45</v>
      </c>
      <c r="J27" s="73">
        <f t="shared" si="3"/>
        <v>36</v>
      </c>
      <c r="K27" s="163"/>
      <c r="L27" s="29"/>
      <c r="N27" s="30"/>
      <c r="O27" s="30"/>
      <c r="P27" s="30"/>
      <c r="Q27" s="31"/>
      <c r="R27" s="32"/>
    </row>
    <row r="28" spans="1:18">
      <c r="A28" s="126">
        <v>36678</v>
      </c>
      <c r="B28" s="122">
        <v>9198</v>
      </c>
      <c r="C28" s="122">
        <f t="shared" si="2"/>
        <v>728.31050228310505</v>
      </c>
      <c r="D28" s="118">
        <v>6699</v>
      </c>
      <c r="F28" s="123">
        <v>17.09717530100065</v>
      </c>
      <c r="G28" s="124">
        <f ca="1">IF(OFFSET('Mnth to Qtr'!B$25,$J28,0)=0,"",AVERAGE(OFFSET('Mnth to Qtr'!B$25,$J28,0):OFFSET('Mnth to Qtr'!B$23,$J28,0)))</f>
        <v>71.373413998864763</v>
      </c>
      <c r="H28" s="124">
        <f ca="1">IF(OFFSET('Mnth to Qtr'!C$25,$J28,0)="","",AVERAGE(OFFSET('Mnth to Qtr'!C$25,$J28,0):OFFSET('Mnth to Qtr'!C$23,$J28,0)))</f>
        <v>86.51</v>
      </c>
      <c r="I28" s="124">
        <f ca="1">IF(OFFSET('Mnth to Qtr'!D$25,$J28,0)="","",AVERAGE(OFFSET('Mnth to Qtr'!D$25,$J28,0):OFFSET('Mnth to Qtr'!D$23,$J28,0)))</f>
        <v>99.42</v>
      </c>
      <c r="J28" s="73">
        <f t="shared" si="3"/>
        <v>39</v>
      </c>
      <c r="K28" s="163"/>
      <c r="L28" s="29"/>
      <c r="N28" s="30"/>
      <c r="O28" s="30"/>
      <c r="P28" s="30"/>
      <c r="Q28" s="31"/>
      <c r="R28" s="32"/>
    </row>
    <row r="29" spans="1:18">
      <c r="A29" s="126">
        <v>36770</v>
      </c>
      <c r="B29" s="122">
        <v>9256.1</v>
      </c>
      <c r="C29" s="122">
        <f t="shared" si="2"/>
        <v>746.96686509437018</v>
      </c>
      <c r="D29" s="118">
        <v>6914</v>
      </c>
      <c r="F29" s="123">
        <v>17.549583940462146</v>
      </c>
      <c r="G29" s="124">
        <f ca="1">IF(OFFSET('Mnth to Qtr'!B$25,$J29,0)=0,"",AVERAGE(OFFSET('Mnth to Qtr'!B$25,$J29,0):OFFSET('Mnth to Qtr'!B$23,$J29,0)))</f>
        <v>65.999654508597573</v>
      </c>
      <c r="H29" s="124">
        <f ca="1">IF(OFFSET('Mnth to Qtr'!C$25,$J29,0)="","",AVERAGE(OFFSET('Mnth to Qtr'!C$25,$J29,0):OFFSET('Mnth to Qtr'!C$23,$J29,0)))</f>
        <v>87.706666666666663</v>
      </c>
      <c r="I29" s="124">
        <f ca="1">IF(OFFSET('Mnth to Qtr'!D$25,$J29,0)="","",AVERAGE(OFFSET('Mnth to Qtr'!D$25,$J29,0):OFFSET('Mnth to Qtr'!D$23,$J29,0)))</f>
        <v>99.769999999999982</v>
      </c>
      <c r="J29" s="73">
        <f t="shared" si="3"/>
        <v>42</v>
      </c>
      <c r="K29" s="163"/>
      <c r="L29" s="29"/>
      <c r="N29" s="30"/>
      <c r="O29" s="30"/>
      <c r="P29" s="30"/>
      <c r="Q29" s="31"/>
      <c r="R29" s="32"/>
    </row>
    <row r="30" spans="1:18">
      <c r="A30" s="126">
        <v>36861</v>
      </c>
      <c r="B30" s="122">
        <v>8787.6</v>
      </c>
      <c r="C30" s="122">
        <f t="shared" si="2"/>
        <v>740.93040192999229</v>
      </c>
      <c r="D30" s="118">
        <v>6511</v>
      </c>
      <c r="F30" s="123">
        <v>16.420945245711259</v>
      </c>
      <c r="G30" s="124">
        <f ca="1">IF(OFFSET('Mnth to Qtr'!B$25,$J30,0)=0,"",AVERAGE(OFFSET('Mnth to Qtr'!B$25,$J30,0):OFFSET('Mnth to Qtr'!B$23,$J30,0)))</f>
        <v>69.537070183339253</v>
      </c>
      <c r="H30" s="124">
        <f ca="1">IF(OFFSET('Mnth to Qtr'!C$25,$J30,0)="","",AVERAGE(OFFSET('Mnth to Qtr'!C$25,$J30,0):OFFSET('Mnth to Qtr'!C$23,$J30,0)))</f>
        <v>89.126666666666665</v>
      </c>
      <c r="I30" s="124">
        <f ca="1">IF(OFFSET('Mnth to Qtr'!D$25,$J30,0)="","",AVERAGE(OFFSET('Mnth to Qtr'!D$25,$J30,0):OFFSET('Mnth to Qtr'!D$23,$J30,0)))</f>
        <v>97.759999999999991</v>
      </c>
      <c r="J30" s="73">
        <f t="shared" si="3"/>
        <v>45</v>
      </c>
      <c r="K30" s="163"/>
      <c r="L30" s="29"/>
      <c r="N30" s="30"/>
      <c r="O30" s="30"/>
      <c r="P30" s="30"/>
      <c r="Q30" s="31"/>
      <c r="R30" s="32"/>
    </row>
    <row r="31" spans="1:18">
      <c r="A31" s="126">
        <v>36951</v>
      </c>
      <c r="B31" s="122">
        <v>8501.1</v>
      </c>
      <c r="C31" s="122">
        <f t="shared" si="2"/>
        <v>727.20000941054684</v>
      </c>
      <c r="D31" s="118">
        <v>6182</v>
      </c>
      <c r="F31" s="123">
        <v>16.081642304800024</v>
      </c>
      <c r="G31" s="124">
        <f ca="1">IF(OFFSET('Mnth to Qtr'!B$25,$J31,0)=0,"",AVERAGE(OFFSET('Mnth to Qtr'!B$25,$J31,0):OFFSET('Mnth to Qtr'!B$23,$J31,0)))</f>
        <v>79.169645258775418</v>
      </c>
      <c r="H31" s="124">
        <f ca="1">IF(OFFSET('Mnth to Qtr'!C$25,$J31,0)="","",AVERAGE(OFFSET('Mnth to Qtr'!C$25,$J31,0):OFFSET('Mnth to Qtr'!C$23,$J31,0)))</f>
        <v>87.5</v>
      </c>
      <c r="I31" s="124">
        <f ca="1">IF(OFFSET('Mnth to Qtr'!D$25,$J31,0)="","",AVERAGE(OFFSET('Mnth to Qtr'!D$25,$J31,0):OFFSET('Mnth to Qtr'!D$23,$J31,0)))</f>
        <v>103.67333333333333</v>
      </c>
      <c r="J31" s="73">
        <f t="shared" si="3"/>
        <v>48</v>
      </c>
      <c r="K31" s="163"/>
      <c r="L31" s="29"/>
      <c r="N31" s="30"/>
      <c r="O31" s="30"/>
      <c r="P31" s="30"/>
      <c r="Q31" s="31"/>
      <c r="R31" s="32"/>
    </row>
    <row r="32" spans="1:18">
      <c r="A32" s="126">
        <v>37043</v>
      </c>
      <c r="B32" s="122">
        <v>9034</v>
      </c>
      <c r="C32" s="122">
        <f t="shared" si="2"/>
        <v>719.72548151427941</v>
      </c>
      <c r="D32" s="118">
        <v>6502</v>
      </c>
      <c r="F32" s="123">
        <v>16.795774700877875</v>
      </c>
      <c r="G32" s="124">
        <f ca="1">IF(OFFSET('Mnth to Qtr'!B$25,$J32,0)=0,"",AVERAGE(OFFSET('Mnth to Qtr'!B$25,$J32,0):OFFSET('Mnth to Qtr'!B$23,$J32,0)))</f>
        <v>75.820045397034662</v>
      </c>
      <c r="H32" s="124">
        <f ca="1">IF(OFFSET('Mnth to Qtr'!C$25,$J32,0)="","",AVERAGE(OFFSET('Mnth to Qtr'!C$25,$J32,0):OFFSET('Mnth to Qtr'!C$23,$J32,0)))</f>
        <v>91.24</v>
      </c>
      <c r="I32" s="124">
        <f ca="1">IF(OFFSET('Mnth to Qtr'!D$25,$J32,0)="","",AVERAGE(OFFSET('Mnth to Qtr'!D$25,$J32,0):OFFSET('Mnth to Qtr'!D$23,$J32,0)))</f>
        <v>104.38666666666667</v>
      </c>
      <c r="J32" s="73">
        <f t="shared" si="3"/>
        <v>51</v>
      </c>
      <c r="K32" s="163"/>
      <c r="L32" s="29"/>
      <c r="N32" s="30"/>
      <c r="O32" s="30"/>
      <c r="P32" s="30"/>
      <c r="Q32" s="31"/>
      <c r="R32" s="32"/>
    </row>
    <row r="33" spans="1:18">
      <c r="A33" s="126">
        <v>37135</v>
      </c>
      <c r="B33" s="122">
        <v>8990</v>
      </c>
      <c r="C33" s="122">
        <f t="shared" si="2"/>
        <v>747.83092324805341</v>
      </c>
      <c r="D33" s="118">
        <v>6723</v>
      </c>
      <c r="F33" s="123">
        <v>17.039490804979433</v>
      </c>
      <c r="G33" s="124">
        <f ca="1">IF(OFFSET('Mnth to Qtr'!B$25,$J33,0)=0,"",AVERAGE(OFFSET('Mnth to Qtr'!B$25,$J33,0):OFFSET('Mnth to Qtr'!B$23,$J33,0)))</f>
        <v>69.892314324765877</v>
      </c>
      <c r="H33" s="124">
        <f ca="1">IF(OFFSET('Mnth to Qtr'!C$25,$J33,0)="","",AVERAGE(OFFSET('Mnth to Qtr'!C$25,$J33,0):OFFSET('Mnth to Qtr'!C$23,$J33,0)))</f>
        <v>91.463333333333324</v>
      </c>
      <c r="I33" s="124">
        <f ca="1">IF(OFFSET('Mnth to Qtr'!D$25,$J33,0)="","",AVERAGE(OFFSET('Mnth to Qtr'!D$25,$J33,0):OFFSET('Mnth to Qtr'!D$23,$J33,0)))</f>
        <v>100.44666666666666</v>
      </c>
      <c r="J33" s="73">
        <f t="shared" si="3"/>
        <v>54</v>
      </c>
      <c r="K33" s="163"/>
      <c r="L33" s="29"/>
      <c r="N33" s="30"/>
      <c r="O33" s="30"/>
      <c r="P33" s="30"/>
      <c r="Q33" s="31"/>
      <c r="R33" s="32"/>
    </row>
    <row r="34" spans="1:18">
      <c r="A34" s="126">
        <v>37226</v>
      </c>
      <c r="B34" s="122">
        <v>8844.7000000000007</v>
      </c>
      <c r="C34" s="122">
        <f t="shared" si="2"/>
        <v>757.51580042285207</v>
      </c>
      <c r="D34" s="118">
        <v>6700</v>
      </c>
      <c r="F34" s="123">
        <v>16.406714110351906</v>
      </c>
      <c r="G34" s="124">
        <f ca="1">IF(OFFSET('Mnth to Qtr'!B$25,$J34,0)=0,"",AVERAGE(OFFSET('Mnth to Qtr'!B$25,$J34,0):OFFSET('Mnth to Qtr'!B$23,$J34,0)))</f>
        <v>64.728505138777464</v>
      </c>
      <c r="H34" s="124">
        <f ca="1">IF(OFFSET('Mnth to Qtr'!C$25,$J34,0)="","",AVERAGE(OFFSET('Mnth to Qtr'!C$25,$J34,0):OFFSET('Mnth to Qtr'!C$23,$J34,0)))</f>
        <v>86.183333333333337</v>
      </c>
      <c r="I34" s="124">
        <f ca="1">IF(OFFSET('Mnth to Qtr'!D$25,$J34,0)="","",AVERAGE(OFFSET('Mnth to Qtr'!D$25,$J34,0):OFFSET('Mnth to Qtr'!D$23,$J34,0)))</f>
        <v>94.886666666666656</v>
      </c>
      <c r="J34" s="73">
        <f t="shared" si="3"/>
        <v>57</v>
      </c>
      <c r="K34" s="163"/>
      <c r="L34" s="29"/>
      <c r="N34" s="30"/>
      <c r="O34" s="30"/>
      <c r="P34" s="30"/>
      <c r="Q34" s="31"/>
      <c r="R34" s="32"/>
    </row>
    <row r="35" spans="1:18">
      <c r="A35" s="126">
        <v>37316</v>
      </c>
      <c r="B35" s="122">
        <v>8410.2999999999993</v>
      </c>
      <c r="C35" s="122">
        <f t="shared" si="2"/>
        <v>758.23692377204145</v>
      </c>
      <c r="D35" s="118">
        <v>6377</v>
      </c>
      <c r="F35" s="123">
        <v>16.206521009622072</v>
      </c>
      <c r="G35" s="124">
        <f ca="1">IF(OFFSET('Mnth to Qtr'!B$25,$J35,0)=0,"",AVERAGE(OFFSET('Mnth to Qtr'!B$25,$J35,0):OFFSET('Mnth to Qtr'!B$23,$J35,0)))</f>
        <v>70.118425463618607</v>
      </c>
      <c r="H35" s="124">
        <f ca="1">IF(OFFSET('Mnth to Qtr'!C$25,$J35,0)="","",AVERAGE(OFFSET('Mnth to Qtr'!C$25,$J35,0):OFFSET('Mnth to Qtr'!C$23,$J35,0)))</f>
        <v>82.686666666666667</v>
      </c>
      <c r="I35" s="124">
        <f ca="1">IF(OFFSET('Mnth to Qtr'!D$25,$J35,0)="","",AVERAGE(OFFSET('Mnth to Qtr'!D$25,$J35,0):OFFSET('Mnth to Qtr'!D$23,$J35,0)))</f>
        <v>98.8</v>
      </c>
      <c r="J35" s="73">
        <f t="shared" si="3"/>
        <v>60</v>
      </c>
      <c r="K35" s="163"/>
      <c r="L35" s="29"/>
      <c r="N35" s="30"/>
      <c r="O35" s="30"/>
      <c r="P35" s="30"/>
      <c r="Q35" s="31"/>
      <c r="R35" s="32"/>
    </row>
    <row r="36" spans="1:18">
      <c r="A36" s="126">
        <v>37408</v>
      </c>
      <c r="B36" s="122">
        <v>9157.5</v>
      </c>
      <c r="C36" s="122">
        <f t="shared" si="2"/>
        <v>746.16434616434617</v>
      </c>
      <c r="D36" s="118">
        <v>6833</v>
      </c>
      <c r="F36" s="123">
        <v>17.522941621493747</v>
      </c>
      <c r="G36" s="124">
        <f ca="1">IF(OFFSET('Mnth to Qtr'!B$25,$J36,0)=0,"",AVERAGE(OFFSET('Mnth to Qtr'!B$25,$J36,0):OFFSET('Mnth to Qtr'!B$23,$J36,0)))</f>
        <v>65.681635815996259</v>
      </c>
      <c r="H36" s="124">
        <f ca="1">IF(OFFSET('Mnth to Qtr'!C$25,$J36,0)="","",AVERAGE(OFFSET('Mnth to Qtr'!C$25,$J36,0):OFFSET('Mnth to Qtr'!C$23,$J36,0)))</f>
        <v>77.88</v>
      </c>
      <c r="I36" s="124">
        <f ca="1">IF(OFFSET('Mnth to Qtr'!D$25,$J36,0)="","",AVERAGE(OFFSET('Mnth to Qtr'!D$25,$J36,0):OFFSET('Mnth to Qtr'!D$23,$J36,0)))</f>
        <v>91.86333333333333</v>
      </c>
      <c r="J36" s="73">
        <f t="shared" si="3"/>
        <v>63</v>
      </c>
      <c r="K36" s="163"/>
      <c r="L36" s="29"/>
      <c r="N36" s="30"/>
      <c r="O36" s="30"/>
      <c r="P36" s="30"/>
      <c r="Q36" s="31"/>
      <c r="R36" s="32"/>
    </row>
    <row r="37" spans="1:18">
      <c r="A37" s="126">
        <v>37500</v>
      </c>
      <c r="B37" s="122">
        <v>9267.2000000000007</v>
      </c>
      <c r="C37" s="122">
        <f t="shared" si="2"/>
        <v>765.81923342541438</v>
      </c>
      <c r="D37" s="118">
        <v>7097</v>
      </c>
      <c r="F37" s="123">
        <v>17.380260800996627</v>
      </c>
      <c r="G37" s="124">
        <f ca="1">IF(OFFSET('Mnth to Qtr'!B$25,$J37,0)=0,"",AVERAGE(OFFSET('Mnth to Qtr'!B$25,$J37,0):OFFSET('Mnth to Qtr'!B$23,$J37,0)))</f>
        <v>63.849639567598082</v>
      </c>
      <c r="H37" s="124">
        <f ca="1">IF(OFFSET('Mnth to Qtr'!C$25,$J37,0)="","",AVERAGE(OFFSET('Mnth to Qtr'!C$25,$J37,0):OFFSET('Mnth to Qtr'!C$23,$J37,0)))</f>
        <v>80.296666666666667</v>
      </c>
      <c r="I37" s="124">
        <f ca="1">IF(OFFSET('Mnth to Qtr'!D$25,$J37,0)="","",AVERAGE(OFFSET('Mnth to Qtr'!D$25,$J37,0):OFFSET('Mnth to Qtr'!D$23,$J37,0)))</f>
        <v>86.203333333333333</v>
      </c>
      <c r="J37" s="73">
        <f t="shared" si="3"/>
        <v>66</v>
      </c>
      <c r="K37" s="163"/>
      <c r="L37" s="29"/>
      <c r="N37" s="30"/>
      <c r="O37" s="30"/>
      <c r="P37" s="30"/>
      <c r="Q37" s="31"/>
      <c r="R37" s="32"/>
    </row>
    <row r="38" spans="1:18">
      <c r="A38" s="126">
        <v>37591</v>
      </c>
      <c r="B38" s="122">
        <v>8899.5</v>
      </c>
      <c r="C38" s="122">
        <f t="shared" si="2"/>
        <v>762.17765042979943</v>
      </c>
      <c r="D38" s="118">
        <v>6783</v>
      </c>
      <c r="F38" s="123">
        <v>16.655944180575627</v>
      </c>
      <c r="G38" s="124">
        <f ca="1">IF(OFFSET('Mnth to Qtr'!B$25,$J38,0)=0,"",AVERAGE(OFFSET('Mnth to Qtr'!B$25,$J38,0):OFFSET('Mnth to Qtr'!B$23,$J38,0)))</f>
        <v>69.429019592017866</v>
      </c>
      <c r="H38" s="124">
        <f ca="1">IF(OFFSET('Mnth to Qtr'!C$25,$J38,0)="","",AVERAGE(OFFSET('Mnth to Qtr'!C$25,$J38,0):OFFSET('Mnth to Qtr'!C$23,$J38,0)))</f>
        <v>83.776666666666671</v>
      </c>
      <c r="I38" s="124">
        <f ca="1">IF(OFFSET('Mnth to Qtr'!D$25,$J38,0)="","",AVERAGE(OFFSET('Mnth to Qtr'!D$25,$J38,0):OFFSET('Mnth to Qtr'!D$23,$J38,0)))</f>
        <v>89.51</v>
      </c>
      <c r="J38" s="73">
        <f t="shared" si="3"/>
        <v>69</v>
      </c>
      <c r="K38" s="163"/>
      <c r="L38" s="29"/>
      <c r="N38" s="30"/>
      <c r="O38" s="30"/>
      <c r="P38" s="30"/>
      <c r="Q38" s="31"/>
      <c r="R38" s="32"/>
    </row>
    <row r="39" spans="1:18">
      <c r="A39" s="126">
        <v>37681</v>
      </c>
      <c r="B39" s="122">
        <v>8351</v>
      </c>
      <c r="C39" s="122">
        <f t="shared" si="2"/>
        <v>752.24524009100696</v>
      </c>
      <c r="D39" s="118">
        <v>6282</v>
      </c>
      <c r="F39" s="123">
        <v>16.215952007322365</v>
      </c>
      <c r="G39" s="124">
        <f ca="1">IF(OFFSET('Mnth to Qtr'!B$25,$J39,0)=0,"",AVERAGE(OFFSET('Mnth to Qtr'!B$25,$J39,0):OFFSET('Mnth to Qtr'!B$23,$J39,0)))</f>
        <v>78.385399618310075</v>
      </c>
      <c r="H39" s="124">
        <f ca="1">IF(OFFSET('Mnth to Qtr'!C$25,$J39,0)="","",AVERAGE(OFFSET('Mnth to Qtr'!C$25,$J39,0):OFFSET('Mnth to Qtr'!C$23,$J39,0)))</f>
        <v>79.186666666666667</v>
      </c>
      <c r="I39" s="124">
        <f ca="1">IF(OFFSET('Mnth to Qtr'!D$25,$J39,0)="","",AVERAGE(OFFSET('Mnth to Qtr'!D$25,$J39,0):OFFSET('Mnth to Qtr'!D$23,$J39,0)))</f>
        <v>93.59666666666665</v>
      </c>
      <c r="J39" s="73">
        <f t="shared" si="3"/>
        <v>72</v>
      </c>
      <c r="K39" s="163"/>
      <c r="L39" s="29"/>
      <c r="N39" s="30"/>
      <c r="O39" s="30"/>
      <c r="P39" s="30"/>
      <c r="Q39" s="31"/>
      <c r="R39" s="32"/>
    </row>
    <row r="40" spans="1:18">
      <c r="A40" s="126">
        <v>37773</v>
      </c>
      <c r="B40" s="122">
        <v>9466.2999999999993</v>
      </c>
      <c r="C40" s="122">
        <f t="shared" si="2"/>
        <v>729.11274732472043</v>
      </c>
      <c r="D40" s="118">
        <v>6902</v>
      </c>
      <c r="F40" s="123">
        <v>16.927035153031692</v>
      </c>
      <c r="G40" s="124">
        <f ca="1">IF(OFFSET('Mnth to Qtr'!B$25,$J40,0)=0,"",AVERAGE(OFFSET('Mnth to Qtr'!B$25,$J40,0):OFFSET('Mnth to Qtr'!B$23,$J40,0)))</f>
        <v>78.251810570052285</v>
      </c>
      <c r="H40" s="124">
        <f ca="1">IF(OFFSET('Mnth to Qtr'!C$25,$J40,0)="","",AVERAGE(OFFSET('Mnth to Qtr'!C$25,$J40,0):OFFSET('Mnth to Qtr'!C$23,$J40,0)))</f>
        <v>84.509999999999991</v>
      </c>
      <c r="I40" s="124">
        <f ca="1">IF(OFFSET('Mnth to Qtr'!D$25,$J40,0)="","",AVERAGE(OFFSET('Mnth to Qtr'!D$25,$J40,0):OFFSET('Mnth to Qtr'!D$23,$J40,0)))</f>
        <v>97.19</v>
      </c>
      <c r="J40" s="73">
        <f t="shared" si="3"/>
        <v>75</v>
      </c>
      <c r="K40" s="163"/>
      <c r="L40" s="29"/>
      <c r="N40" s="30"/>
      <c r="O40" s="30"/>
      <c r="P40" s="30"/>
      <c r="Q40" s="31"/>
      <c r="R40" s="32"/>
    </row>
    <row r="41" spans="1:18">
      <c r="A41" s="126">
        <v>37865</v>
      </c>
      <c r="B41" s="122">
        <v>9557.9</v>
      </c>
      <c r="C41" s="122">
        <f t="shared" si="2"/>
        <v>740.85311627031047</v>
      </c>
      <c r="D41" s="118">
        <v>7081</v>
      </c>
      <c r="F41" s="123">
        <v>16.904175993269515</v>
      </c>
      <c r="G41" s="124">
        <f ca="1">IF(OFFSET('Mnth to Qtr'!B$25,$J41,0)=0,"",AVERAGE(OFFSET('Mnth to Qtr'!B$25,$J41,0):OFFSET('Mnth to Qtr'!B$23,$J41,0)))</f>
        <v>81.43922192521633</v>
      </c>
      <c r="H41" s="124">
        <f ca="1">IF(OFFSET('Mnth to Qtr'!C$25,$J41,0)="","",AVERAGE(OFFSET('Mnth to Qtr'!C$25,$J41,0):OFFSET('Mnth to Qtr'!C$23,$J41,0)))</f>
        <v>96.336666666666659</v>
      </c>
      <c r="I41" s="124">
        <f ca="1">IF(OFFSET('Mnth to Qtr'!D$25,$J41,0)="","",AVERAGE(OFFSET('Mnth to Qtr'!D$25,$J41,0):OFFSET('Mnth to Qtr'!D$23,$J41,0)))</f>
        <v>103.33999999999999</v>
      </c>
      <c r="J41" s="73">
        <f t="shared" si="3"/>
        <v>78</v>
      </c>
      <c r="K41" s="163"/>
      <c r="L41" s="29"/>
      <c r="N41" s="30"/>
      <c r="O41" s="30"/>
      <c r="P41" s="30"/>
      <c r="Q41" s="31"/>
      <c r="R41" s="32"/>
    </row>
    <row r="42" spans="1:18">
      <c r="A42" s="126">
        <v>37956</v>
      </c>
      <c r="B42" s="122">
        <v>8118.3</v>
      </c>
      <c r="C42" s="122">
        <f t="shared" si="2"/>
        <v>735.74516832341737</v>
      </c>
      <c r="D42" s="118">
        <v>5973</v>
      </c>
      <c r="F42" s="123">
        <v>14.988494080939169</v>
      </c>
      <c r="G42" s="124">
        <f ca="1">IF(OFFSET('Mnth to Qtr'!B$25,$J42,0)=0,"",AVERAGE(OFFSET('Mnth to Qtr'!B$25,$J42,0):OFFSET('Mnth to Qtr'!B$23,$J42,0)))</f>
        <v>97.460872723215729</v>
      </c>
      <c r="H42" s="124">
        <f ca="1">IF(OFFSET('Mnth to Qtr'!C$25,$J42,0)="","",AVERAGE(OFFSET('Mnth to Qtr'!C$25,$J42,0):OFFSET('Mnth to Qtr'!C$23,$J42,0)))</f>
        <v>103.37</v>
      </c>
      <c r="I42" s="124">
        <f ca="1">IF(OFFSET('Mnth to Qtr'!D$25,$J42,0)="","",AVERAGE(OFFSET('Mnth to Qtr'!D$25,$J42,0):OFFSET('Mnth to Qtr'!D$23,$J42,0)))</f>
        <v>109.01666666666667</v>
      </c>
      <c r="J42" s="73">
        <f t="shared" si="3"/>
        <v>81</v>
      </c>
      <c r="K42" s="163"/>
      <c r="L42" s="29"/>
      <c r="N42" s="30"/>
      <c r="O42" s="30"/>
      <c r="P42" s="30"/>
      <c r="Q42" s="31"/>
      <c r="R42" s="32"/>
    </row>
    <row r="43" spans="1:18">
      <c r="A43" s="126">
        <v>38047</v>
      </c>
      <c r="B43" s="122">
        <v>7877.0999999999995</v>
      </c>
      <c r="C43" s="122">
        <f t="shared" si="2"/>
        <v>741.13569714742744</v>
      </c>
      <c r="D43" s="118">
        <v>5838</v>
      </c>
      <c r="E43" s="125"/>
      <c r="F43" s="123">
        <v>16.009265415953795</v>
      </c>
      <c r="G43" s="124">
        <f ca="1">IF(OFFSET('Mnth to Qtr'!B$25,$J43,0)=0,"",AVERAGE(OFFSET('Mnth to Qtr'!B$25,$J43,0):OFFSET('Mnth to Qtr'!B$23,$J43,0)))</f>
        <v>81.653294100502322</v>
      </c>
      <c r="H43" s="124">
        <f ca="1">IF(OFFSET('Mnth to Qtr'!C$25,$J43,0)="","",AVERAGE(OFFSET('Mnth to Qtr'!C$25,$J43,0):OFFSET('Mnth to Qtr'!C$23,$J43,0)))</f>
        <v>90.030000000000015</v>
      </c>
      <c r="I43" s="124">
        <f ca="1">IF(OFFSET('Mnth to Qtr'!D$25,$J43,0)="","",AVERAGE(OFFSET('Mnth to Qtr'!D$25,$J43,0):OFFSET('Mnth to Qtr'!D$23,$J43,0)))</f>
        <v>108.29666666666667</v>
      </c>
      <c r="J43" s="73">
        <f t="shared" si="3"/>
        <v>84</v>
      </c>
      <c r="K43" s="163"/>
      <c r="L43" s="33"/>
      <c r="N43" s="34"/>
      <c r="O43" s="34"/>
      <c r="P43" s="34"/>
      <c r="Q43" s="31"/>
      <c r="R43" s="32"/>
    </row>
    <row r="44" spans="1:18">
      <c r="A44" s="126">
        <v>38139</v>
      </c>
      <c r="B44" s="122">
        <v>8527.9</v>
      </c>
      <c r="C44" s="122">
        <f t="shared" si="2"/>
        <v>733.24030535067254</v>
      </c>
      <c r="D44" s="118">
        <v>6253</v>
      </c>
      <c r="E44" s="125"/>
      <c r="F44" s="123">
        <v>16.927101827700348</v>
      </c>
      <c r="G44" s="124">
        <f ca="1">IF(OFFSET('Mnth to Qtr'!B$25,$J44,0)=0,"",AVERAGE(OFFSET('Mnth to Qtr'!B$25,$J44,0):OFFSET('Mnth to Qtr'!B$23,$J44,0)))</f>
        <v>87.595807528407889</v>
      </c>
      <c r="H44" s="124">
        <f ca="1">IF(OFFSET('Mnth to Qtr'!C$25,$J44,0)="","",AVERAGE(OFFSET('Mnth to Qtr'!C$25,$J44,0):OFFSET('Mnth to Qtr'!C$23,$J44,0)))</f>
        <v>106.57</v>
      </c>
      <c r="I44" s="124">
        <f ca="1">IF(OFFSET('Mnth to Qtr'!D$25,$J44,0)="","",AVERAGE(OFFSET('Mnth to Qtr'!D$25,$J44,0):OFFSET('Mnth to Qtr'!D$23,$J44,0)))</f>
        <v>119.83</v>
      </c>
      <c r="J44" s="73">
        <f t="shared" si="3"/>
        <v>87</v>
      </c>
      <c r="K44" s="163"/>
      <c r="L44" s="33"/>
      <c r="N44" s="34"/>
      <c r="O44" s="34"/>
      <c r="P44" s="34"/>
      <c r="Q44" s="31"/>
      <c r="R44" s="32"/>
    </row>
    <row r="45" spans="1:18">
      <c r="A45" s="126">
        <v>38231</v>
      </c>
      <c r="B45" s="122">
        <v>8344.7999999999993</v>
      </c>
      <c r="C45" s="122">
        <f t="shared" si="2"/>
        <v>762.15127983894172</v>
      </c>
      <c r="D45" s="118">
        <v>6360</v>
      </c>
      <c r="E45" s="125"/>
      <c r="F45" s="123">
        <v>16.963364739631178</v>
      </c>
      <c r="G45" s="124">
        <f ca="1">IF(OFFSET('Mnth to Qtr'!B$25,$J45,0)=0,"",AVERAGE(OFFSET('Mnth to Qtr'!B$25,$J45,0):OFFSET('Mnth to Qtr'!B$23,$J45,0)))</f>
        <v>83.721778106570582</v>
      </c>
      <c r="H45" s="124">
        <f ca="1">IF(OFFSET('Mnth to Qtr'!C$25,$J45,0)="","",AVERAGE(OFFSET('Mnth to Qtr'!C$25,$J45,0):OFFSET('Mnth to Qtr'!C$23,$J45,0)))</f>
        <v>118.09666666666668</v>
      </c>
      <c r="I45" s="124">
        <f ca="1">IF(OFFSET('Mnth to Qtr'!D$25,$J45,0)="","",AVERAGE(OFFSET('Mnth to Qtr'!D$25,$J45,0):OFFSET('Mnth to Qtr'!D$23,$J45,0)))</f>
        <v>127.96</v>
      </c>
      <c r="J45" s="73">
        <f t="shared" si="3"/>
        <v>90</v>
      </c>
      <c r="K45" s="163"/>
      <c r="L45" s="33"/>
      <c r="N45" s="34"/>
      <c r="O45" s="34"/>
      <c r="P45" s="34"/>
      <c r="Q45" s="31"/>
      <c r="R45" s="32"/>
    </row>
    <row r="46" spans="1:18">
      <c r="A46" s="126">
        <v>38322</v>
      </c>
      <c r="B46" s="122">
        <v>7978.5000000000009</v>
      </c>
      <c r="C46" s="122">
        <f t="shared" si="2"/>
        <v>764.17873033778267</v>
      </c>
      <c r="D46" s="118">
        <v>6097</v>
      </c>
      <c r="E46" s="125"/>
      <c r="F46" s="123">
        <v>16.336621351432655</v>
      </c>
      <c r="G46" s="124">
        <f ca="1">IF(OFFSET('Mnth to Qtr'!B$25,$J46,0)=0,"",AVERAGE(OFFSET('Mnth to Qtr'!B$25,$J46,0):OFFSET('Mnth to Qtr'!B$23,$J46,0)))</f>
        <v>85.978850391371623</v>
      </c>
      <c r="H46" s="124">
        <f ca="1">IF(OFFSET('Mnth to Qtr'!C$25,$J46,0)="","",AVERAGE(OFFSET('Mnth to Qtr'!C$25,$J46,0):OFFSET('Mnth to Qtr'!C$23,$J46,0)))</f>
        <v>109.92333333333333</v>
      </c>
      <c r="I46" s="124">
        <f ca="1">IF(OFFSET('Mnth to Qtr'!D$25,$J46,0)="","",AVERAGE(OFFSET('Mnth to Qtr'!D$25,$J46,0):OFFSET('Mnth to Qtr'!D$23,$J46,0)))</f>
        <v>122.61</v>
      </c>
      <c r="J46" s="73">
        <f t="shared" si="3"/>
        <v>93</v>
      </c>
      <c r="K46" s="163"/>
      <c r="L46" s="33"/>
      <c r="N46" s="34"/>
      <c r="O46" s="34"/>
      <c r="P46" s="34"/>
      <c r="Q46" s="31"/>
      <c r="R46" s="32"/>
    </row>
    <row r="47" spans="1:18">
      <c r="A47" s="126">
        <v>38412</v>
      </c>
      <c r="B47" s="122">
        <v>7596.1</v>
      </c>
      <c r="C47" s="122">
        <f t="shared" si="2"/>
        <v>753.67622859098753</v>
      </c>
      <c r="D47" s="118">
        <v>5725</v>
      </c>
      <c r="E47" s="123">
        <v>5725</v>
      </c>
      <c r="F47" s="123">
        <v>15.684033558134415</v>
      </c>
      <c r="G47" s="124">
        <f ca="1">IF(OFFSET('Mnth to Qtr'!B$25,$J47,0)=0,"",AVERAGE(OFFSET('Mnth to Qtr'!B$25,$J47,0):OFFSET('Mnth to Qtr'!B$23,$J47,0)))</f>
        <v>89.698020767090711</v>
      </c>
      <c r="H47" s="124">
        <f ca="1">IF(OFFSET('Mnth to Qtr'!C$25,$J47,0)="","",AVERAGE(OFFSET('Mnth to Qtr'!C$25,$J47,0):OFFSET('Mnth to Qtr'!C$23,$J47,0)))</f>
        <v>105.71666666666665</v>
      </c>
      <c r="I47" s="124">
        <f ca="1">IF(OFFSET('Mnth to Qtr'!D$25,$J47,0)="","",AVERAGE(OFFSET('Mnth to Qtr'!D$25,$J47,0):OFFSET('Mnth to Qtr'!D$23,$J47,0)))</f>
        <v>125.94000000000001</v>
      </c>
      <c r="J47" s="73">
        <f t="shared" si="3"/>
        <v>96</v>
      </c>
      <c r="K47" s="163"/>
      <c r="L47" s="35"/>
      <c r="M47" s="36"/>
      <c r="N47" s="37"/>
      <c r="O47" s="37"/>
      <c r="P47" s="37"/>
      <c r="Q47" s="37"/>
      <c r="R47" s="38"/>
    </row>
    <row r="48" spans="1:18">
      <c r="A48" s="126">
        <v>38504</v>
      </c>
      <c r="B48" s="122">
        <v>8291.2000000000007</v>
      </c>
      <c r="C48" s="122">
        <f t="shared" si="2"/>
        <v>746.45407178695473</v>
      </c>
      <c r="D48" s="118">
        <v>6189</v>
      </c>
      <c r="E48" s="123">
        <v>6189</v>
      </c>
      <c r="F48" s="123">
        <v>16.85708479098415</v>
      </c>
      <c r="G48" s="124">
        <f ca="1">IF(OFFSET('Mnth to Qtr'!B$25,$J48,0)=0,"",AVERAGE(OFFSET('Mnth to Qtr'!B$25,$J48,0):OFFSET('Mnth to Qtr'!B$23,$J48,0)))</f>
        <v>88.485327818393145</v>
      </c>
      <c r="H48" s="124">
        <f ca="1">IF(OFFSET('Mnth to Qtr'!C$25,$J48,0)="","",AVERAGE(OFFSET('Mnth to Qtr'!C$25,$J48,0):OFFSET('Mnth to Qtr'!C$23,$J48,0)))</f>
        <v>114.89999999999999</v>
      </c>
      <c r="I48" s="124">
        <f ca="1">IF(OFFSET('Mnth to Qtr'!D$25,$J48,0)="","",AVERAGE(OFFSET('Mnth to Qtr'!D$25,$J48,0):OFFSET('Mnth to Qtr'!D$23,$J48,0)))</f>
        <v>134.22666666666666</v>
      </c>
      <c r="J48" s="73">
        <f t="shared" si="3"/>
        <v>99</v>
      </c>
      <c r="K48" s="163"/>
      <c r="L48" s="35"/>
      <c r="M48" s="35"/>
      <c r="N48" s="37"/>
      <c r="O48" s="37"/>
      <c r="P48" s="37"/>
      <c r="Q48" s="39"/>
      <c r="R48" s="40"/>
    </row>
    <row r="49" spans="1:18">
      <c r="A49" s="126">
        <v>38596</v>
      </c>
      <c r="B49" s="122">
        <v>8485.9</v>
      </c>
      <c r="C49" s="122">
        <f t="shared" si="2"/>
        <v>773.04705452574274</v>
      </c>
      <c r="D49" s="118">
        <v>6560</v>
      </c>
      <c r="E49" s="123">
        <v>6560</v>
      </c>
      <c r="F49" s="123">
        <v>17.015437985158325</v>
      </c>
      <c r="G49" s="124">
        <f ca="1">IF(OFFSET('Mnth to Qtr'!B$25,$J49,0)=0,"",AVERAGE(OFFSET('Mnth to Qtr'!B$25,$J49,0):OFFSET('Mnth to Qtr'!B$23,$J49,0)))</f>
        <v>82.00200215625398</v>
      </c>
      <c r="H49" s="124">
        <f ca="1">IF(OFFSET('Mnth to Qtr'!C$25,$J49,0)="","",AVERAGE(OFFSET('Mnth to Qtr'!C$25,$J49,0):OFFSET('Mnth to Qtr'!C$23,$J49,0)))</f>
        <v>114.53333333333335</v>
      </c>
      <c r="I49" s="124">
        <f ca="1">IF(OFFSET('Mnth to Qtr'!D$25,$J49,0)="","",AVERAGE(OFFSET('Mnth to Qtr'!D$25,$J49,0):OFFSET('Mnth to Qtr'!D$23,$J49,0)))</f>
        <v>127.52333333333333</v>
      </c>
      <c r="J49" s="73">
        <f t="shared" si="3"/>
        <v>102</v>
      </c>
      <c r="K49" s="163"/>
      <c r="L49" s="35"/>
      <c r="M49" s="35"/>
      <c r="N49" s="37"/>
      <c r="O49" s="37"/>
      <c r="P49" s="37"/>
      <c r="Q49" s="39"/>
      <c r="R49" s="40"/>
    </row>
    <row r="50" spans="1:18">
      <c r="A50" s="126">
        <v>38687</v>
      </c>
      <c r="B50" s="122">
        <v>8014.4</v>
      </c>
      <c r="C50" s="122">
        <f t="shared" si="2"/>
        <v>774.7304851267719</v>
      </c>
      <c r="D50" s="118">
        <v>6209</v>
      </c>
      <c r="E50" s="123">
        <v>6209</v>
      </c>
      <c r="F50" s="123">
        <v>16.078453297542612</v>
      </c>
      <c r="G50" s="124">
        <f ca="1">IF(OFFSET('Mnth to Qtr'!B$25,$J50,0)=0,"",AVERAGE(OFFSET('Mnth to Qtr'!B$25,$J50,0):OFFSET('Mnth to Qtr'!B$23,$J50,0)))</f>
        <v>90.615389099708423</v>
      </c>
      <c r="H50" s="124">
        <f ca="1">IF(OFFSET('Mnth to Qtr'!C$25,$J50,0)="","",AVERAGE(OFFSET('Mnth to Qtr'!C$25,$J50,0):OFFSET('Mnth to Qtr'!C$23,$J50,0)))</f>
        <v>115.85333333333334</v>
      </c>
      <c r="I50" s="124">
        <f ca="1">IF(OFFSET('Mnth to Qtr'!D$25,$J50,0)="","",AVERAGE(OFFSET('Mnth to Qtr'!D$25,$J50,0):OFFSET('Mnth to Qtr'!D$23,$J50,0)))</f>
        <v>129.3133333333333</v>
      </c>
      <c r="J50" s="73">
        <f t="shared" si="3"/>
        <v>105</v>
      </c>
      <c r="K50" s="163"/>
      <c r="L50" s="35"/>
      <c r="M50" s="35"/>
      <c r="N50" s="36"/>
      <c r="O50" s="36"/>
      <c r="P50" s="41" t="str">
        <f>IF(N50="","",(N50+O50)/2)</f>
        <v/>
      </c>
      <c r="Q50" s="39"/>
      <c r="R50" s="40"/>
    </row>
    <row r="51" spans="1:18">
      <c r="A51" s="126">
        <v>38777</v>
      </c>
      <c r="B51" s="122">
        <v>7843.2</v>
      </c>
      <c r="C51" s="122">
        <f t="shared" si="2"/>
        <v>775.39779681762559</v>
      </c>
      <c r="D51" s="118">
        <v>6081.6</v>
      </c>
      <c r="E51" s="123">
        <v>6081.6</v>
      </c>
      <c r="F51" s="123">
        <v>15.852302701763181</v>
      </c>
      <c r="G51" s="124">
        <f ca="1">IF(OFFSET('Mnth to Qtr'!B$25,$J51,0)=0,"",AVERAGE(OFFSET('Mnth to Qtr'!B$25,$J51,0):OFFSET('Mnth to Qtr'!B$23,$J51,0)))</f>
        <v>90.064093544608852</v>
      </c>
      <c r="H51" s="124">
        <f ca="1">IF(OFFSET('Mnth to Qtr'!C$25,$J51,0)="","",AVERAGE(OFFSET('Mnth to Qtr'!C$25,$J51,0):OFFSET('Mnth to Qtr'!C$23,$J51,0)))</f>
        <v>109.59666666666665</v>
      </c>
      <c r="I51" s="124">
        <f ca="1">IF(OFFSET('Mnth to Qtr'!D$25,$J51,0)="","",AVERAGE(OFFSET('Mnth to Qtr'!D$25,$J51,0):OFFSET('Mnth to Qtr'!D$23,$J51,0)))</f>
        <v>133.72333333333333</v>
      </c>
      <c r="J51" s="73">
        <f t="shared" si="3"/>
        <v>108</v>
      </c>
      <c r="K51" s="163"/>
      <c r="L51" s="42"/>
      <c r="M51" s="43"/>
      <c r="N51" s="3"/>
      <c r="O51" s="3"/>
      <c r="P51" s="41" t="str">
        <f>IF(N51="","",(N51+O51)/2)</f>
        <v/>
      </c>
      <c r="Q51" s="4"/>
      <c r="R51" s="4"/>
    </row>
    <row r="52" spans="1:18">
      <c r="A52" s="126">
        <v>38869</v>
      </c>
      <c r="B52" s="122">
        <v>8807.1</v>
      </c>
      <c r="C52" s="122">
        <f t="shared" si="2"/>
        <v>763.50898706725241</v>
      </c>
      <c r="D52" s="118">
        <v>6724.2999999999993</v>
      </c>
      <c r="E52" s="123">
        <v>6724.2999999999993</v>
      </c>
      <c r="F52" s="123">
        <v>16.877406255696648</v>
      </c>
      <c r="G52" s="124">
        <f ca="1">IF(OFFSET('Mnth to Qtr'!B$25,$J52,0)=0,"",AVERAGE(OFFSET('Mnth to Qtr'!B$25,$J52,0):OFFSET('Mnth to Qtr'!B$23,$J52,0)))</f>
        <v>81.115142435575294</v>
      </c>
      <c r="H52" s="124">
        <f ca="1">IF(OFFSET('Mnth to Qtr'!C$25,$J52,0)="","",AVERAGE(OFFSET('Mnth to Qtr'!C$25,$J52,0):OFFSET('Mnth to Qtr'!C$23,$J52,0)))</f>
        <v>107.54</v>
      </c>
      <c r="I52" s="124">
        <f ca="1">IF(OFFSET('Mnth to Qtr'!D$25,$J52,0)="","",AVERAGE(OFFSET('Mnth to Qtr'!D$25,$J52,0):OFFSET('Mnth to Qtr'!D$23,$J52,0)))</f>
        <v>126.62333333333333</v>
      </c>
      <c r="J52" s="73">
        <f t="shared" si="3"/>
        <v>111</v>
      </c>
      <c r="K52" s="163"/>
      <c r="L52" s="42"/>
      <c r="M52" s="43"/>
      <c r="N52" s="3"/>
      <c r="O52" s="3"/>
      <c r="P52" s="41" t="str">
        <f>IF(N52="","",(N52+O52)/2)</f>
        <v/>
      </c>
      <c r="Q52" s="4"/>
      <c r="R52" s="4"/>
    </row>
    <row r="53" spans="1:18">
      <c r="A53" s="126">
        <v>38961</v>
      </c>
      <c r="B53" s="122">
        <v>8735</v>
      </c>
      <c r="C53" s="122">
        <f>IF(B53="",0,D53/B53*1000)</f>
        <v>782.31253577561529</v>
      </c>
      <c r="D53" s="118">
        <v>6833.5</v>
      </c>
      <c r="E53" s="123">
        <v>6833.5</v>
      </c>
      <c r="F53" s="123">
        <v>16.894035313613809</v>
      </c>
      <c r="G53" s="124">
        <f ca="1">IF(OFFSET('Mnth to Qtr'!B$25,$J53,0)=0,"",AVERAGE(OFFSET('Mnth to Qtr'!B$25,$J53,0):OFFSET('Mnth to Qtr'!B$23,$J53,0)))</f>
        <v>85.337296201443237</v>
      </c>
      <c r="H53" s="124">
        <f ca="1">IF(OFFSET('Mnth to Qtr'!C$25,$J53,0)="","",AVERAGE(OFFSET('Mnth to Qtr'!C$25,$J53,0):OFFSET('Mnth to Qtr'!C$23,$J53,0)))</f>
        <v>117.70333333333333</v>
      </c>
      <c r="I53" s="124">
        <f ca="1">IF(OFFSET('Mnth to Qtr'!D$25,$J53,0)="","",AVERAGE(OFFSET('Mnth to Qtr'!D$25,$J53,0):OFFSET('Mnth to Qtr'!D$23,$J53,0)))</f>
        <v>128.59</v>
      </c>
      <c r="J53" s="73">
        <f t="shared" si="3"/>
        <v>114</v>
      </c>
      <c r="K53" s="163"/>
      <c r="L53" s="44"/>
      <c r="M53" s="43"/>
      <c r="N53" s="3"/>
      <c r="O53" s="3"/>
      <c r="P53" s="41"/>
      <c r="Q53" s="4"/>
      <c r="R53" s="4"/>
    </row>
    <row r="54" spans="1:18">
      <c r="A54" s="126">
        <v>39052</v>
      </c>
      <c r="B54" s="122">
        <v>8313</v>
      </c>
      <c r="C54" s="122">
        <f t="shared" ref="C54:C94" si="4">IF(B54="",0,D54/B54*1000)</f>
        <v>783.41152411884991</v>
      </c>
      <c r="D54" s="118">
        <v>6512.5</v>
      </c>
      <c r="E54" s="123">
        <v>6512.5</v>
      </c>
      <c r="F54" s="123">
        <v>16.287772812981963</v>
      </c>
      <c r="G54" s="124">
        <f ca="1">IF(OFFSET('Mnth to Qtr'!B$25,$J54,0)=0,"",AVERAGE(OFFSET('Mnth to Qtr'!B$25,$J54,0):OFFSET('Mnth to Qtr'!B$23,$J54,0)))</f>
        <v>87.251251203491009</v>
      </c>
      <c r="H54" s="124">
        <f ca="1">IF(OFFSET('Mnth to Qtr'!C$25,$J54,0)="","",AVERAGE(OFFSET('Mnth to Qtr'!C$25,$J54,0):OFFSET('Mnth to Qtr'!C$23,$J54,0)))</f>
        <v>105.04666666666667</v>
      </c>
      <c r="I54" s="124">
        <f ca="1">IF(OFFSET('Mnth to Qtr'!D$25,$J54,0)="","",AVERAGE(OFFSET('Mnth to Qtr'!D$25,$J54,0):OFFSET('Mnth to Qtr'!D$23,$J54,0)))</f>
        <v>115.94333333333333</v>
      </c>
      <c r="J54" s="73">
        <f t="shared" si="3"/>
        <v>117</v>
      </c>
      <c r="K54" s="163"/>
      <c r="L54" s="44"/>
      <c r="M54" s="43"/>
      <c r="N54" s="3"/>
      <c r="O54" s="3"/>
      <c r="P54" s="41"/>
      <c r="Q54" s="4"/>
      <c r="R54" s="4"/>
    </row>
    <row r="55" spans="1:18">
      <c r="A55" s="126">
        <v>39142</v>
      </c>
      <c r="B55" s="122">
        <v>8154.5</v>
      </c>
      <c r="C55" s="122">
        <f t="shared" si="4"/>
        <v>764.8169722239254</v>
      </c>
      <c r="D55" s="118">
        <v>6236.7</v>
      </c>
      <c r="E55" s="123">
        <v>6236.7</v>
      </c>
      <c r="F55" s="123">
        <v>15.938796303708108</v>
      </c>
      <c r="G55" s="124">
        <f ca="1">IF(OFFSET('Mnth to Qtr'!B$25,$J55,0)=0,"",AVERAGE(OFFSET('Mnth to Qtr'!B$25,$J55,0):OFFSET('Mnth to Qtr'!B$23,$J55,0)))</f>
        <v>91.238131073743261</v>
      </c>
      <c r="H55" s="124">
        <f ca="1">IF(OFFSET('Mnth to Qtr'!C$25,$J55,0)="","",AVERAGE(OFFSET('Mnth to Qtr'!C$25,$J55,0):OFFSET('Mnth to Qtr'!C$23,$J55,0)))</f>
        <v>100.62666666666667</v>
      </c>
      <c r="I55" s="124">
        <f ca="1">IF(OFFSET('Mnth to Qtr'!D$25,$J55,0)="","",AVERAGE(OFFSET('Mnth to Qtr'!D$25,$J55,0):OFFSET('Mnth to Qtr'!D$23,$J55,0)))</f>
        <v>119.15333333333332</v>
      </c>
      <c r="J55" s="73">
        <f t="shared" si="3"/>
        <v>120</v>
      </c>
      <c r="K55" s="163"/>
      <c r="L55" s="44"/>
      <c r="M55" s="43"/>
      <c r="N55" s="3"/>
      <c r="O55" s="3"/>
      <c r="P55" s="41"/>
      <c r="Q55" s="4"/>
      <c r="R55" s="4"/>
    </row>
    <row r="56" spans="1:18">
      <c r="A56" s="126">
        <v>39234</v>
      </c>
      <c r="B56" s="122">
        <v>8829.2999999999993</v>
      </c>
      <c r="C56" s="122">
        <f t="shared" si="4"/>
        <v>753.01552784478963</v>
      </c>
      <c r="D56" s="118">
        <v>6648.6</v>
      </c>
      <c r="E56" s="123">
        <v>6648.6</v>
      </c>
      <c r="F56" s="123">
        <v>16.66997825027682</v>
      </c>
      <c r="G56" s="124">
        <f ca="1">IF(OFFSET('Mnth to Qtr'!B$25,$J56,0)=0,"",AVERAGE(OFFSET('Mnth to Qtr'!B$25,$J56,0):OFFSET('Mnth to Qtr'!B$23,$J56,0)))</f>
        <v>94.469487720893156</v>
      </c>
      <c r="H56" s="124">
        <f ca="1">IF(OFFSET('Mnth to Qtr'!C$25,$J56,0)="","",AVERAGE(OFFSET('Mnth to Qtr'!C$25,$J56,0):OFFSET('Mnth to Qtr'!C$23,$J56,0)))</f>
        <v>110.14333333333333</v>
      </c>
      <c r="I56" s="124">
        <f ca="1">IF(OFFSET('Mnth to Qtr'!D$25,$J56,0)="","",AVERAGE(OFFSET('Mnth to Qtr'!D$25,$J56,0):OFFSET('Mnth to Qtr'!D$23,$J56,0)))</f>
        <v>124.33999999999999</v>
      </c>
      <c r="J56" s="73">
        <f t="shared" si="3"/>
        <v>123</v>
      </c>
      <c r="K56" s="163"/>
      <c r="L56" s="44"/>
      <c r="M56" s="43"/>
      <c r="N56" s="3"/>
      <c r="O56" s="3"/>
      <c r="P56" s="41"/>
      <c r="Q56" s="4"/>
      <c r="R56" s="4"/>
    </row>
    <row r="57" spans="1:18">
      <c r="A57" s="126">
        <v>39326</v>
      </c>
      <c r="B57" s="122">
        <v>8699.7999999999993</v>
      </c>
      <c r="C57" s="122">
        <f t="shared" si="4"/>
        <v>781.85705418515363</v>
      </c>
      <c r="D57" s="118">
        <v>6801.9999999999991</v>
      </c>
      <c r="E57" s="123">
        <v>6801.9999999999991</v>
      </c>
      <c r="F57" s="123">
        <v>16.442797043914695</v>
      </c>
      <c r="G57" s="124">
        <f ca="1">IF(OFFSET('Mnth to Qtr'!B$25,$J57,0)=0,"",AVERAGE(OFFSET('Mnth to Qtr'!B$25,$J57,0):OFFSET('Mnth to Qtr'!B$23,$J57,0)))</f>
        <v>92.05759309598966</v>
      </c>
      <c r="H57" s="124">
        <f ca="1">IF(OFFSET('Mnth to Qtr'!C$25,$J57,0)="","",AVERAGE(OFFSET('Mnth to Qtr'!C$25,$J57,0):OFFSET('Mnth to Qtr'!C$23,$J57,0)))</f>
        <v>117.54333333333334</v>
      </c>
      <c r="I57" s="124">
        <f ca="1">IF(OFFSET('Mnth to Qtr'!D$25,$J57,0)="","",AVERAGE(OFFSET('Mnth to Qtr'!D$25,$J57,0):OFFSET('Mnth to Qtr'!D$23,$J57,0)))</f>
        <v>126.5</v>
      </c>
      <c r="J57" s="73">
        <f t="shared" si="3"/>
        <v>126</v>
      </c>
      <c r="K57" s="163"/>
      <c r="L57" s="44"/>
      <c r="M57" s="43"/>
      <c r="N57" s="3"/>
      <c r="O57" s="3"/>
      <c r="P57" s="41"/>
      <c r="Q57" s="4"/>
      <c r="R57" s="4"/>
    </row>
    <row r="58" spans="1:18">
      <c r="A58" s="126">
        <v>39417</v>
      </c>
      <c r="B58" s="122">
        <v>8580.6</v>
      </c>
      <c r="C58" s="122">
        <f t="shared" si="4"/>
        <v>784.7003706034543</v>
      </c>
      <c r="D58" s="118">
        <v>6733.2000000000007</v>
      </c>
      <c r="E58" s="123">
        <v>6733.2000000000007</v>
      </c>
      <c r="F58" s="123">
        <v>16.241814227538001</v>
      </c>
      <c r="G58" s="124">
        <f ca="1">IF(OFFSET('Mnth to Qtr'!B$25,$J58,0)=0,"",AVERAGE(OFFSET('Mnth to Qtr'!B$25,$J58,0):OFFSET('Mnth to Qtr'!B$23,$J58,0)))</f>
        <v>92.667112914310948</v>
      </c>
      <c r="H58" s="124">
        <f ca="1">IF(OFFSET('Mnth to Qtr'!C$25,$J58,0)="","",AVERAGE(OFFSET('Mnth to Qtr'!C$25,$J58,0):OFFSET('Mnth to Qtr'!C$23,$J58,0)))</f>
        <v>109.77999999999999</v>
      </c>
      <c r="I58" s="124">
        <f ca="1">IF(OFFSET('Mnth to Qtr'!D$25,$J58,0)="","",AVERAGE(OFFSET('Mnth to Qtr'!D$25,$J58,0):OFFSET('Mnth to Qtr'!D$23,$J58,0)))</f>
        <v>117.87666666666667</v>
      </c>
      <c r="J58" s="73">
        <f t="shared" si="3"/>
        <v>129</v>
      </c>
      <c r="K58" s="163"/>
      <c r="L58" s="44"/>
      <c r="M58" s="43"/>
      <c r="N58" s="3"/>
      <c r="O58" s="3"/>
      <c r="P58" s="41"/>
      <c r="Q58" s="4"/>
      <c r="R58" s="4"/>
    </row>
    <row r="59" spans="1:18">
      <c r="A59" s="126">
        <v>39508</v>
      </c>
      <c r="B59" s="122">
        <v>8270.4000000000015</v>
      </c>
      <c r="C59" s="122">
        <f t="shared" si="4"/>
        <v>770.43431998452297</v>
      </c>
      <c r="D59" s="118">
        <v>6371.7999999999993</v>
      </c>
      <c r="E59" s="123">
        <v>6371.7999999999993</v>
      </c>
      <c r="F59" s="123">
        <v>15.514285452443955</v>
      </c>
      <c r="G59" s="124">
        <f ca="1">IF(OFFSET('Mnth to Qtr'!B$25,$J59,0)=0,"",AVERAGE(OFFSET('Mnth to Qtr'!B$25,$J59,0):OFFSET('Mnth to Qtr'!B$23,$J59,0)))</f>
        <v>90.875961347052623</v>
      </c>
      <c r="H59" s="124">
        <f ca="1">IF(OFFSET('Mnth to Qtr'!C$25,$J59,0)="","",AVERAGE(OFFSET('Mnth to Qtr'!C$25,$J59,0):OFFSET('Mnth to Qtr'!C$23,$J59,0)))</f>
        <v>101.69666666666666</v>
      </c>
      <c r="I59" s="124">
        <f ca="1">IF(OFFSET('Mnth to Qtr'!D$25,$J59,0)="","",AVERAGE(OFFSET('Mnth to Qtr'!D$25,$J59,0):OFFSET('Mnth to Qtr'!D$23,$J59,0)))</f>
        <v>120.07666666666665</v>
      </c>
      <c r="J59" s="73">
        <f t="shared" si="3"/>
        <v>132</v>
      </c>
      <c r="K59" s="163"/>
      <c r="L59" s="45"/>
      <c r="M59" s="43"/>
      <c r="N59" s="3"/>
      <c r="O59" s="3"/>
      <c r="P59" s="41"/>
      <c r="Q59" s="4"/>
      <c r="R59" s="4"/>
    </row>
    <row r="60" spans="1:18">
      <c r="A60" s="126">
        <v>39600</v>
      </c>
      <c r="B60" s="122">
        <v>9057.2999999999993</v>
      </c>
      <c r="C60" s="122">
        <f t="shared" si="4"/>
        <v>761.69498636458991</v>
      </c>
      <c r="D60" s="118">
        <v>6898.9</v>
      </c>
      <c r="E60" s="123">
        <v>6898.9</v>
      </c>
      <c r="F60" s="123">
        <v>16.271751206548167</v>
      </c>
      <c r="G60" s="124">
        <f ca="1">IF(OFFSET('Mnth to Qtr'!B$25,$J60,0)=0,"",AVERAGE(OFFSET('Mnth to Qtr'!B$25,$J60,0):OFFSET('Mnth to Qtr'!B$23,$J60,0)))</f>
        <v>92.827394007279011</v>
      </c>
      <c r="H60" s="124">
        <f ca="1">IF(OFFSET('Mnth to Qtr'!C$25,$J60,0)="","",AVERAGE(OFFSET('Mnth to Qtr'!C$25,$J60,0):OFFSET('Mnth to Qtr'!C$23,$J60,0)))</f>
        <v>108.73666666666668</v>
      </c>
      <c r="I60" s="124">
        <f ca="1">IF(OFFSET('Mnth to Qtr'!D$25,$J60,0)="","",AVERAGE(OFFSET('Mnth to Qtr'!D$25,$J60,0):OFFSET('Mnth to Qtr'!D$23,$J60,0)))</f>
        <v>120.25999999999999</v>
      </c>
      <c r="J60" s="73">
        <f t="shared" si="3"/>
        <v>135</v>
      </c>
      <c r="K60" s="163"/>
      <c r="L60" s="45"/>
      <c r="M60" s="43"/>
      <c r="N60" s="3"/>
      <c r="O60" s="3"/>
      <c r="P60" s="41"/>
      <c r="Q60" s="4"/>
      <c r="R60" s="4"/>
    </row>
    <row r="61" spans="1:18">
      <c r="A61" s="126">
        <v>39692</v>
      </c>
      <c r="B61" s="122">
        <v>8860.2000000000007</v>
      </c>
      <c r="C61" s="122">
        <f t="shared" si="4"/>
        <v>779.70023250039492</v>
      </c>
      <c r="D61" s="118">
        <v>6908.2999999999993</v>
      </c>
      <c r="E61" s="123">
        <v>6908.2999999999993</v>
      </c>
      <c r="F61" s="123">
        <v>15.686464741668814</v>
      </c>
      <c r="G61" s="124">
        <f ca="1">IF(OFFSET('Mnth to Qtr'!B$25,$J61,0)=0,"",AVERAGE(OFFSET('Mnth to Qtr'!B$25,$J61,0):OFFSET('Mnth to Qtr'!B$23,$J61,0)))</f>
        <v>98.520922408964665</v>
      </c>
      <c r="H61" s="124">
        <f ca="1">IF(OFFSET('Mnth to Qtr'!C$25,$J61,0)="","",AVERAGE(OFFSET('Mnth to Qtr'!C$25,$J61,0):OFFSET('Mnth to Qtr'!C$23,$J61,0)))</f>
        <v>113.25</v>
      </c>
      <c r="I61" s="124">
        <f ca="1">IF(OFFSET('Mnth to Qtr'!D$25,$J61,0)="","",AVERAGE(OFFSET('Mnth to Qtr'!D$25,$J61,0):OFFSET('Mnth to Qtr'!D$23,$J61,0)))</f>
        <v>118.88666666666667</v>
      </c>
      <c r="J61" s="73">
        <f t="shared" si="3"/>
        <v>138</v>
      </c>
      <c r="K61" s="163"/>
      <c r="L61" s="45"/>
      <c r="M61" s="43"/>
      <c r="N61" s="3"/>
      <c r="O61" s="3"/>
      <c r="P61" s="41"/>
      <c r="Q61" s="4"/>
      <c r="R61" s="4"/>
    </row>
    <row r="62" spans="1:18">
      <c r="A62" s="126">
        <v>39783</v>
      </c>
      <c r="B62" s="122">
        <v>8176.9</v>
      </c>
      <c r="C62" s="122">
        <f t="shared" si="4"/>
        <v>780.51584341254022</v>
      </c>
      <c r="D62" s="118">
        <v>6382.2</v>
      </c>
      <c r="E62" s="123">
        <v>6382.2</v>
      </c>
      <c r="F62" s="123">
        <v>15.020123823087518</v>
      </c>
      <c r="G62" s="124">
        <f ca="1">IF(OFFSET('Mnth to Qtr'!B$25,$J62,0)=0,"",AVERAGE(OFFSET('Mnth to Qtr'!B$25,$J62,0):OFFSET('Mnth to Qtr'!B$23,$J62,0)))</f>
        <v>88.884566397039748</v>
      </c>
      <c r="H62" s="124">
        <f ca="1">IF(OFFSET('Mnth to Qtr'!C$25,$J62,0)="","",AVERAGE(OFFSET('Mnth to Qtr'!C$25,$J62,0):OFFSET('Mnth to Qtr'!C$23,$J62,0)))</f>
        <v>96.256666666666661</v>
      </c>
      <c r="I62" s="124">
        <f ca="1">IF(OFFSET('Mnth to Qtr'!D$25,$J62,0)="","",AVERAGE(OFFSET('Mnth to Qtr'!D$25,$J62,0):OFFSET('Mnth to Qtr'!D$23,$J62,0)))</f>
        <v>104.02</v>
      </c>
      <c r="J62" s="73">
        <f t="shared" si="3"/>
        <v>141</v>
      </c>
      <c r="K62" s="163"/>
      <c r="L62" s="45"/>
      <c r="M62" s="43"/>
      <c r="N62" s="3"/>
      <c r="O62" s="3"/>
      <c r="P62" s="41"/>
      <c r="Q62" s="4"/>
      <c r="R62" s="4"/>
    </row>
    <row r="63" spans="1:18">
      <c r="A63" s="126">
        <v>39873</v>
      </c>
      <c r="B63" s="122">
        <v>7975.7</v>
      </c>
      <c r="C63" s="122">
        <f t="shared" si="4"/>
        <v>783.36697719322433</v>
      </c>
      <c r="D63" s="118">
        <v>6247.9</v>
      </c>
      <c r="E63" s="123">
        <v>6247.9</v>
      </c>
      <c r="F63" s="123">
        <v>15.193460076521463</v>
      </c>
      <c r="G63" s="124">
        <f ca="1">IF(OFFSET('Mnth to Qtr'!B$25,$J63,0)=0,"",AVERAGE(OFFSET('Mnth to Qtr'!B$25,$J63,0):OFFSET('Mnth to Qtr'!B$23,$J63,0)))</f>
        <v>82.178656470198277</v>
      </c>
      <c r="H63" s="124">
        <f ca="1">IF(OFFSET('Mnth to Qtr'!C$25,$J63,0)="","",AVERAGE(OFFSET('Mnth to Qtr'!C$25,$J63,0):OFFSET('Mnth to Qtr'!C$23,$J63,0)))</f>
        <v>93.86</v>
      </c>
      <c r="I63" s="124">
        <f ca="1">IF(OFFSET('Mnth to Qtr'!D$25,$J63,0)="","",AVERAGE(OFFSET('Mnth to Qtr'!D$25,$J63,0):OFFSET('Mnth to Qtr'!D$23,$J63,0)))</f>
        <v>109.42</v>
      </c>
      <c r="J63" s="73">
        <f t="shared" si="3"/>
        <v>144</v>
      </c>
      <c r="K63" s="163"/>
      <c r="L63" s="140">
        <f t="shared" ref="L63:L102" si="5">B63</f>
        <v>7975.7</v>
      </c>
      <c r="M63" s="141">
        <f t="shared" ref="M63:M94" si="6">+E63/L63*1000</f>
        <v>783.36697719322433</v>
      </c>
      <c r="N63" s="142">
        <v>82</v>
      </c>
      <c r="O63" s="142">
        <v>83</v>
      </c>
      <c r="P63" s="143">
        <f>IF(N63="","",(N63+O63)/2)</f>
        <v>82.5</v>
      </c>
      <c r="Q63" s="139" t="s">
        <v>86</v>
      </c>
      <c r="R63" s="139" t="s">
        <v>87</v>
      </c>
    </row>
    <row r="64" spans="1:18">
      <c r="A64" s="126">
        <v>39965</v>
      </c>
      <c r="B64" s="122">
        <v>8603.4</v>
      </c>
      <c r="C64" s="122">
        <f t="shared" si="4"/>
        <v>767.34779273310562</v>
      </c>
      <c r="D64" s="118">
        <v>6601.8</v>
      </c>
      <c r="E64" s="123">
        <v>6601.8</v>
      </c>
      <c r="F64" s="123">
        <v>15.633391340032793</v>
      </c>
      <c r="G64" s="124">
        <f ca="1">IF(OFFSET('Mnth to Qtr'!B$25,$J64,0)=0,"",AVERAGE(OFFSET('Mnth to Qtr'!B$25,$J64,0):OFFSET('Mnth to Qtr'!B$23,$J64,0)))</f>
        <v>84.479658827967043</v>
      </c>
      <c r="H64" s="124">
        <f ca="1">IF(OFFSET('Mnth to Qtr'!C$25,$J64,0)="","",AVERAGE(OFFSET('Mnth to Qtr'!C$25,$J64,0):OFFSET('Mnth to Qtr'!C$23,$J64,0)))</f>
        <v>99.626666666666665</v>
      </c>
      <c r="I64" s="124">
        <f ca="1">IF(OFFSET('Mnth to Qtr'!D$25,$J64,0)="","",AVERAGE(OFFSET('Mnth to Qtr'!D$25,$J64,0):OFFSET('Mnth to Qtr'!D$23,$J64,0)))</f>
        <v>115.55666666666667</v>
      </c>
      <c r="J64" s="73">
        <f t="shared" si="3"/>
        <v>147</v>
      </c>
      <c r="K64" s="163"/>
      <c r="L64" s="140">
        <f t="shared" si="5"/>
        <v>8603.4</v>
      </c>
      <c r="M64" s="141">
        <f t="shared" si="6"/>
        <v>767.34779273310562</v>
      </c>
      <c r="N64" s="142">
        <v>84</v>
      </c>
      <c r="O64" s="142">
        <v>85</v>
      </c>
      <c r="P64" s="143">
        <f>IF(N64="","",(N64+O64)/2)</f>
        <v>84.5</v>
      </c>
      <c r="Q64" s="139" t="s">
        <v>88</v>
      </c>
      <c r="R64" s="139" t="s">
        <v>89</v>
      </c>
    </row>
    <row r="65" spans="1:18">
      <c r="A65" s="126">
        <v>40057</v>
      </c>
      <c r="B65" s="122">
        <v>8518.2000000000007</v>
      </c>
      <c r="C65" s="122">
        <f t="shared" si="4"/>
        <v>785.31849451762105</v>
      </c>
      <c r="D65" s="118">
        <v>6689.5</v>
      </c>
      <c r="E65" s="123">
        <v>6689.5</v>
      </c>
      <c r="F65" s="123">
        <v>15.564772707518694</v>
      </c>
      <c r="G65" s="124">
        <f ca="1">IF(OFFSET('Mnth to Qtr'!B$25,$J65,0)=0,"",AVERAGE(OFFSET('Mnth to Qtr'!B$25,$J65,0):OFFSET('Mnth to Qtr'!B$23,$J65,0)))</f>
        <v>83.051850072172201</v>
      </c>
      <c r="H65" s="124">
        <f ca="1">IF(OFFSET('Mnth to Qtr'!C$25,$J65,0)="","",AVERAGE(OFFSET('Mnth to Qtr'!C$25,$J65,0):OFFSET('Mnth to Qtr'!C$23,$J65,0)))</f>
        <v>101.21333333333332</v>
      </c>
      <c r="I65" s="124">
        <f ca="1">IF(OFFSET('Mnth to Qtr'!D$25,$J65,0)="","",AVERAGE(OFFSET('Mnth to Qtr'!D$25,$J65,0):OFFSET('Mnth to Qtr'!D$23,$J65,0)))</f>
        <v>109.37333333333333</v>
      </c>
      <c r="J65" s="73">
        <f t="shared" si="3"/>
        <v>150</v>
      </c>
      <c r="K65" s="163"/>
      <c r="L65" s="140">
        <f t="shared" si="5"/>
        <v>8518.2000000000007</v>
      </c>
      <c r="M65" s="141">
        <f t="shared" si="6"/>
        <v>785.31849451762105</v>
      </c>
      <c r="N65" s="142">
        <v>82</v>
      </c>
      <c r="O65" s="142">
        <v>84</v>
      </c>
      <c r="P65" s="143">
        <f>IF(N65="","",(N65+O65)/2)</f>
        <v>83</v>
      </c>
      <c r="Q65" s="139" t="s">
        <v>90</v>
      </c>
      <c r="R65" s="139" t="s">
        <v>92</v>
      </c>
    </row>
    <row r="66" spans="1:18">
      <c r="A66" s="126">
        <v>40148</v>
      </c>
      <c r="B66" s="122">
        <v>8241</v>
      </c>
      <c r="C66" s="122">
        <f t="shared" si="4"/>
        <v>779.7840067952917</v>
      </c>
      <c r="D66" s="118">
        <v>6426.1999999999989</v>
      </c>
      <c r="E66" s="123">
        <v>6426.1999999999989</v>
      </c>
      <c r="F66" s="123">
        <v>14.724487550992604</v>
      </c>
      <c r="G66" s="124">
        <f ca="1">IF(OFFSET('Mnth to Qtr'!B$25,$J66,0)=0,"",AVERAGE(OFFSET('Mnth to Qtr'!B$25,$J66,0):OFFSET('Mnth to Qtr'!B$23,$J66,0)))</f>
        <v>83.290577845254219</v>
      </c>
      <c r="H66" s="124">
        <f ca="1">IF(OFFSET('Mnth to Qtr'!C$25,$J66,0)="","",AVERAGE(OFFSET('Mnth to Qtr'!C$25,$J66,0):OFFSET('Mnth to Qtr'!C$23,$J66,0)))</f>
        <v>94.426666666666662</v>
      </c>
      <c r="I66" s="124">
        <f ca="1">IF(OFFSET('Mnth to Qtr'!D$25,$J66,0)="","",AVERAGE(OFFSET('Mnth to Qtr'!D$25,$J66,0):OFFSET('Mnth to Qtr'!D$23,$J66,0)))</f>
        <v>104.36666666666667</v>
      </c>
      <c r="J66" s="73">
        <f t="shared" si="3"/>
        <v>153</v>
      </c>
      <c r="K66" s="163"/>
      <c r="L66" s="140">
        <f t="shared" si="5"/>
        <v>8241</v>
      </c>
      <c r="M66" s="141">
        <f t="shared" si="6"/>
        <v>779.7840067952917</v>
      </c>
      <c r="N66" s="142">
        <v>83</v>
      </c>
      <c r="O66" s="142">
        <v>84</v>
      </c>
      <c r="P66" s="143">
        <f t="shared" ref="P66:P90" si="7">IF(N66="","",(N66+O66)/2)</f>
        <v>83.5</v>
      </c>
      <c r="Q66" s="139" t="s">
        <v>95</v>
      </c>
      <c r="R66" s="139" t="s">
        <v>94</v>
      </c>
    </row>
    <row r="67" spans="1:18">
      <c r="A67" s="126">
        <v>40238</v>
      </c>
      <c r="B67" s="122">
        <v>8163.7000000000007</v>
      </c>
      <c r="C67" s="122">
        <f t="shared" si="4"/>
        <v>765.36374438061159</v>
      </c>
      <c r="D67" s="118">
        <v>6248.2</v>
      </c>
      <c r="E67" s="123">
        <v>6248.2</v>
      </c>
      <c r="F67" s="123">
        <v>14.576789108367832</v>
      </c>
      <c r="G67" s="124">
        <f ca="1">IF(OFFSET('Mnth to Qtr'!B$25,$J67,0)=0,"",AVERAGE(OFFSET('Mnth to Qtr'!B$25,$J67,0):OFFSET('Mnth to Qtr'!B$23,$J67,0)))</f>
        <v>89.441688088124735</v>
      </c>
      <c r="H67" s="124">
        <f ca="1">IF(OFFSET('Mnth to Qtr'!C$25,$J67,0)="","",AVERAGE(OFFSET('Mnth to Qtr'!C$25,$J67,0):OFFSET('Mnth to Qtr'!C$23,$J67,0)))</f>
        <v>100.88</v>
      </c>
      <c r="I67" s="124">
        <f ca="1">IF(OFFSET('Mnth to Qtr'!D$25,$J67,0)="","",AVERAGE(OFFSET('Mnth to Qtr'!D$25,$J67,0):OFFSET('Mnth to Qtr'!D$23,$J67,0)))</f>
        <v>116.22666666666667</v>
      </c>
      <c r="J67" s="73">
        <f t="shared" si="3"/>
        <v>156</v>
      </c>
      <c r="K67" s="163"/>
      <c r="L67" s="140">
        <f t="shared" si="5"/>
        <v>8163.7000000000007</v>
      </c>
      <c r="M67" s="141">
        <f t="shared" si="6"/>
        <v>765.36374438061159</v>
      </c>
      <c r="N67" s="142">
        <v>88</v>
      </c>
      <c r="O67" s="142">
        <v>89</v>
      </c>
      <c r="P67" s="143">
        <f t="shared" si="7"/>
        <v>88.5</v>
      </c>
      <c r="Q67" s="139" t="s">
        <v>88</v>
      </c>
      <c r="R67" s="139" t="s">
        <v>97</v>
      </c>
    </row>
    <row r="68" spans="1:18">
      <c r="A68" s="126">
        <v>40330</v>
      </c>
      <c r="B68" s="122">
        <v>8679.6</v>
      </c>
      <c r="C68" s="122">
        <f t="shared" si="4"/>
        <v>754.23982672012539</v>
      </c>
      <c r="D68" s="118">
        <v>6546.5</v>
      </c>
      <c r="E68" s="123">
        <v>6546.5</v>
      </c>
      <c r="F68" s="123">
        <v>15.106120431731103</v>
      </c>
      <c r="G68" s="124">
        <f ca="1">IF(OFFSET('Mnth to Qtr'!B$25,$J68,0)=0,"",AVERAGE(OFFSET('Mnth to Qtr'!B$25,$J68,0):OFFSET('Mnth to Qtr'!B$23,$J68,0)))</f>
        <v>96.330965711616443</v>
      </c>
      <c r="H68" s="124">
        <f ca="1">IF(OFFSET('Mnth to Qtr'!C$25,$J68,0)="","",AVERAGE(OFFSET('Mnth to Qtr'!C$25,$J68,0):OFFSET('Mnth to Qtr'!C$23,$J68,0)))</f>
        <v>113.03666666666668</v>
      </c>
      <c r="I68" s="124">
        <f ca="1">IF(OFFSET('Mnth to Qtr'!D$25,$J68,0)="","",AVERAGE(OFFSET('Mnth to Qtr'!D$25,$J68,0):OFFSET('Mnth to Qtr'!D$23,$J68,0)))</f>
        <v>127.77</v>
      </c>
      <c r="J68" s="73">
        <f t="shared" si="3"/>
        <v>159</v>
      </c>
      <c r="K68" s="163"/>
      <c r="L68" s="140">
        <f t="shared" si="5"/>
        <v>8679.6</v>
      </c>
      <c r="M68" s="141">
        <f t="shared" si="6"/>
        <v>754.23982672012539</v>
      </c>
      <c r="N68" s="142">
        <v>96</v>
      </c>
      <c r="O68" s="142">
        <v>97</v>
      </c>
      <c r="P68" s="143">
        <f>IF(N68="","",(N68+O68)/2)</f>
        <v>96.5</v>
      </c>
      <c r="Q68" s="139" t="s">
        <v>99</v>
      </c>
      <c r="R68" s="139" t="s">
        <v>98</v>
      </c>
    </row>
    <row r="69" spans="1:18">
      <c r="A69" s="126">
        <v>40422</v>
      </c>
      <c r="B69" s="122">
        <v>8751.5</v>
      </c>
      <c r="C69" s="122">
        <f t="shared" si="4"/>
        <v>773.39884591212922</v>
      </c>
      <c r="D69" s="118">
        <v>6768.4</v>
      </c>
      <c r="E69" s="123">
        <v>6768.4</v>
      </c>
      <c r="F69" s="123">
        <v>15.262430606539967</v>
      </c>
      <c r="G69" s="124">
        <f ca="1">IF(OFFSET('Mnth to Qtr'!B$25,$J69,0)=0,"",AVERAGE(OFFSET('Mnth to Qtr'!B$25,$J69,0):OFFSET('Mnth to Qtr'!B$23,$J69,0)))</f>
        <v>95.470529160409129</v>
      </c>
      <c r="H69" s="124">
        <f ca="1">IF(OFFSET('Mnth to Qtr'!C$25,$J69,0)="","",AVERAGE(OFFSET('Mnth to Qtr'!C$25,$J69,0):OFFSET('Mnth to Qtr'!C$23,$J69,0)))</f>
        <v>115.11666666666667</v>
      </c>
      <c r="I69" s="124">
        <f ca="1">IF(OFFSET('Mnth to Qtr'!D$25,$J69,0)="","",AVERAGE(OFFSET('Mnth to Qtr'!D$25,$J69,0):OFFSET('Mnth to Qtr'!D$23,$J69,0)))</f>
        <v>124.10333333333334</v>
      </c>
      <c r="J69" s="73">
        <f t="shared" si="3"/>
        <v>162</v>
      </c>
      <c r="K69" s="163"/>
      <c r="L69" s="140">
        <f t="shared" si="5"/>
        <v>8751.5</v>
      </c>
      <c r="M69" s="141">
        <f>+E69/L69*1000</f>
        <v>773.39884591212922</v>
      </c>
      <c r="N69" s="142">
        <v>94</v>
      </c>
      <c r="O69" s="142">
        <v>96</v>
      </c>
      <c r="P69" s="41">
        <f>IF(N69="","",(N69+O69)/2)</f>
        <v>95</v>
      </c>
      <c r="Q69" s="139" t="s">
        <v>101</v>
      </c>
      <c r="R69" s="139" t="s">
        <v>100</v>
      </c>
    </row>
    <row r="70" spans="1:18">
      <c r="A70" s="126">
        <v>40513</v>
      </c>
      <c r="B70" s="122">
        <v>8654.2999999999993</v>
      </c>
      <c r="C70" s="122">
        <f>IF(B70="",0,D70/B70*1000)</f>
        <v>778.95381486659812</v>
      </c>
      <c r="D70" s="118">
        <v>6741.2999999999993</v>
      </c>
      <c r="E70" s="123">
        <v>6741.2999999999993</v>
      </c>
      <c r="F70" s="123">
        <v>14.625816439635473</v>
      </c>
      <c r="G70" s="124">
        <f ca="1">IF(OFFSET('Mnth to Qtr'!B$25,$J70,0)=0,"",AVERAGE(OFFSET('Mnth to Qtr'!B$25,$J70,0):OFFSET('Mnth to Qtr'!B$23,$J70,0)))</f>
        <v>100.27171767573488</v>
      </c>
      <c r="H70" s="124">
        <f ca="1">IF(OFFSET('Mnth to Qtr'!C$25,$J70,0)="","",AVERAGE(OFFSET('Mnth to Qtr'!C$25,$J70,0):OFFSET('Mnth to Qtr'!C$23,$J70,0)))</f>
        <v>114.52</v>
      </c>
      <c r="I70" s="124">
        <f ca="1">IF(OFFSET('Mnth to Qtr'!D$25,$J70,0)="","",AVERAGE(OFFSET('Mnth to Qtr'!D$25,$J70,0):OFFSET('Mnth to Qtr'!D$23,$J70,0)))</f>
        <v>123.25999999999999</v>
      </c>
      <c r="J70" s="73">
        <f t="shared" si="3"/>
        <v>165</v>
      </c>
      <c r="K70" s="163"/>
      <c r="L70" s="140">
        <f t="shared" si="5"/>
        <v>8654.2999999999993</v>
      </c>
      <c r="M70" s="141">
        <f t="shared" si="6"/>
        <v>778.95381486659812</v>
      </c>
      <c r="N70" s="142">
        <v>100</v>
      </c>
      <c r="O70" s="142">
        <v>100</v>
      </c>
      <c r="P70" s="143">
        <f>IF(N70="","",(N70+O70)/2)</f>
        <v>100</v>
      </c>
      <c r="Q70" s="139" t="s">
        <v>104</v>
      </c>
      <c r="R70" s="139" t="s">
        <v>105</v>
      </c>
    </row>
    <row r="71" spans="1:18">
      <c r="A71" s="126">
        <v>40603</v>
      </c>
      <c r="B71" s="122">
        <v>8314.4</v>
      </c>
      <c r="C71" s="122">
        <f t="shared" si="4"/>
        <v>770.89146540941022</v>
      </c>
      <c r="D71" s="118">
        <v>6409.5</v>
      </c>
      <c r="E71" s="123">
        <v>6409.5</v>
      </c>
      <c r="F71" s="123">
        <v>14.099442246584394</v>
      </c>
      <c r="G71" s="124">
        <f ca="1">IF(OFFSET('Mnth to Qtr'!B$25,$J71,0)=0,"",AVERAGE(OFFSET('Mnth to Qtr'!B$25,$J71,0):OFFSET('Mnth to Qtr'!B$23,$J71,0)))</f>
        <v>110.0658050563117</v>
      </c>
      <c r="H71" s="124">
        <f ca="1">IF(OFFSET('Mnth to Qtr'!C$25,$J71,0)="","",AVERAGE(OFFSET('Mnth to Qtr'!C$25,$J71,0):OFFSET('Mnth to Qtr'!C$23,$J71,0)))</f>
        <v>129.06</v>
      </c>
      <c r="I71" s="124">
        <f ca="1">IF(OFFSET('Mnth to Qtr'!D$25,$J71,0)="","",AVERAGE(OFFSET('Mnth to Qtr'!D$25,$J71,0):OFFSET('Mnth to Qtr'!D$23,$J71,0)))</f>
        <v>150.07</v>
      </c>
      <c r="J71" s="73">
        <f t="shared" si="3"/>
        <v>168</v>
      </c>
      <c r="K71" s="163"/>
      <c r="L71" s="140">
        <f t="shared" si="5"/>
        <v>8314.4</v>
      </c>
      <c r="M71" s="141">
        <f t="shared" si="6"/>
        <v>770.89146540941022</v>
      </c>
      <c r="N71" s="142">
        <v>110</v>
      </c>
      <c r="O71" s="142">
        <v>110</v>
      </c>
      <c r="P71" s="143">
        <f t="shared" si="7"/>
        <v>110</v>
      </c>
      <c r="Q71" s="139" t="s">
        <v>106</v>
      </c>
      <c r="R71" s="139" t="s">
        <v>107</v>
      </c>
    </row>
    <row r="72" spans="1:18">
      <c r="A72" s="126">
        <v>40695</v>
      </c>
      <c r="B72" s="122">
        <v>8639.5</v>
      </c>
      <c r="C72" s="122">
        <f t="shared" si="4"/>
        <v>759.23375195323797</v>
      </c>
      <c r="D72" s="118">
        <v>6559.4</v>
      </c>
      <c r="E72" s="123">
        <v>6559.4</v>
      </c>
      <c r="F72" s="123">
        <v>14.540248195810452</v>
      </c>
      <c r="G72" s="124">
        <f ca="1">IF(OFFSET('Mnth to Qtr'!B$25,$J72,0)=0,"",AVERAGE(OFFSET('Mnth to Qtr'!B$25,$J72,0):OFFSET('Mnth to Qtr'!B$23,$J72,0)))</f>
        <v>112.78827183723649</v>
      </c>
      <c r="H72" s="124">
        <f ca="1">IF(OFFSET('Mnth to Qtr'!C$25,$J72,0)="","",AVERAGE(OFFSET('Mnth to Qtr'!C$25,$J72,0):OFFSET('Mnth to Qtr'!C$23,$J72,0)))</f>
        <v>132.02666666666667</v>
      </c>
      <c r="I72" s="124">
        <f ca="1">IF(OFFSET('Mnth to Qtr'!D$25,$J72,0)="","",AVERAGE(OFFSET('Mnth to Qtr'!D$25,$J72,0):OFFSET('Mnth to Qtr'!D$23,$J72,0)))</f>
        <v>148.60666666666665</v>
      </c>
      <c r="J72" s="73">
        <f t="shared" si="3"/>
        <v>171</v>
      </c>
      <c r="K72" s="163"/>
      <c r="L72" s="140">
        <f t="shared" si="5"/>
        <v>8639.5</v>
      </c>
      <c r="M72" s="141">
        <f t="shared" si="6"/>
        <v>759.23375195323797</v>
      </c>
      <c r="N72" s="142">
        <v>111</v>
      </c>
      <c r="O72" s="142">
        <v>112</v>
      </c>
      <c r="P72" s="143">
        <f t="shared" si="7"/>
        <v>111.5</v>
      </c>
      <c r="Q72" s="139" t="s">
        <v>108</v>
      </c>
      <c r="R72" s="139" t="s">
        <v>109</v>
      </c>
    </row>
    <row r="73" spans="1:18">
      <c r="A73" s="126">
        <v>40787</v>
      </c>
      <c r="B73" s="122">
        <v>8737.6</v>
      </c>
      <c r="C73" s="122">
        <f t="shared" si="4"/>
        <v>770.94396630653716</v>
      </c>
      <c r="D73" s="118">
        <v>6736.2</v>
      </c>
      <c r="E73" s="123">
        <v>6736.2</v>
      </c>
      <c r="F73" s="123">
        <v>14.649350123955191</v>
      </c>
      <c r="G73" s="124">
        <f ca="1">IF(OFFSET('Mnth to Qtr'!B$25,$J73,0)=0,"",AVERAGE(OFFSET('Mnth to Qtr'!B$25,$J73,0):OFFSET('Mnth to Qtr'!B$23,$J73,0)))</f>
        <v>114.05088753218349</v>
      </c>
      <c r="H73" s="124">
        <f ca="1">IF(OFFSET('Mnth to Qtr'!C$25,$J73,0)="","",AVERAGE(OFFSET('Mnth to Qtr'!C$25,$J73,0):OFFSET('Mnth to Qtr'!C$23,$J73,0)))</f>
        <v>135.92999999999998</v>
      </c>
      <c r="I73" s="124">
        <f ca="1">IF(OFFSET('Mnth to Qtr'!D$25,$J73,0)="","",AVERAGE(OFFSET('Mnth to Qtr'!D$25,$J73,0):OFFSET('Mnth to Qtr'!D$23,$J73,0)))</f>
        <v>141.69333333333336</v>
      </c>
      <c r="J73" s="73">
        <f t="shared" si="3"/>
        <v>174</v>
      </c>
      <c r="K73" s="163"/>
      <c r="L73" s="140">
        <f t="shared" si="5"/>
        <v>8737.6</v>
      </c>
      <c r="M73" s="141">
        <f t="shared" si="6"/>
        <v>770.94396630653716</v>
      </c>
      <c r="N73" s="148">
        <v>113</v>
      </c>
      <c r="O73" s="148">
        <v>114</v>
      </c>
      <c r="P73" s="41">
        <f t="shared" si="7"/>
        <v>113.5</v>
      </c>
      <c r="Q73" s="149" t="s">
        <v>112</v>
      </c>
      <c r="R73" s="149" t="s">
        <v>113</v>
      </c>
    </row>
    <row r="74" spans="1:18">
      <c r="A74" s="126">
        <v>40878</v>
      </c>
      <c r="B74" s="122">
        <v>8395</v>
      </c>
      <c r="C74" s="122">
        <f t="shared" si="4"/>
        <v>773.10303752233472</v>
      </c>
      <c r="D74" s="118">
        <v>6490.2</v>
      </c>
      <c r="E74" s="123">
        <v>6490.2</v>
      </c>
      <c r="F74" s="123">
        <v>13.980799251074529</v>
      </c>
      <c r="G74" s="124">
        <f ca="1">IF(OFFSET('Mnth to Qtr'!B$25,$J74,0)=0,"",AVERAGE(OFFSET('Mnth to Qtr'!B$25,$J74,0):OFFSET('Mnth to Qtr'!B$23,$J74,0)))</f>
        <v>121.99369281698809</v>
      </c>
      <c r="H74" s="124">
        <f ca="1">IF(OFFSET('Mnth to Qtr'!C$25,$J74,0)="","",AVERAGE(OFFSET('Mnth to Qtr'!C$25,$J74,0):OFFSET('Mnth to Qtr'!C$23,$J74,0)))</f>
        <v>143.15</v>
      </c>
      <c r="I74" s="124">
        <f ca="1">IF(OFFSET('Mnth to Qtr'!D$25,$J74,0)="","",AVERAGE(OFFSET('Mnth to Qtr'!D$25,$J74,0):OFFSET('Mnth to Qtr'!D$23,$J74,0)))</f>
        <v>153.11333333333334</v>
      </c>
      <c r="J74" s="73">
        <f t="shared" si="3"/>
        <v>177</v>
      </c>
      <c r="K74" s="163"/>
      <c r="L74" s="140">
        <f t="shared" si="5"/>
        <v>8395</v>
      </c>
      <c r="M74" s="141">
        <f t="shared" si="6"/>
        <v>773.10303752233472</v>
      </c>
      <c r="N74" s="148">
        <v>121</v>
      </c>
      <c r="O74" s="148">
        <v>122</v>
      </c>
      <c r="P74" s="41">
        <f t="shared" si="7"/>
        <v>121.5</v>
      </c>
      <c r="Q74" s="149" t="s">
        <v>116</v>
      </c>
      <c r="R74" s="149" t="s">
        <v>117</v>
      </c>
    </row>
    <row r="75" spans="1:18">
      <c r="A75" s="126">
        <v>40969</v>
      </c>
      <c r="B75" s="122">
        <v>8025.6999999999989</v>
      </c>
      <c r="C75" s="122">
        <f t="shared" si="4"/>
        <v>782.67316246557937</v>
      </c>
      <c r="D75" s="118">
        <v>6281.5</v>
      </c>
      <c r="E75" s="123">
        <v>6281.5</v>
      </c>
      <c r="F75" s="123">
        <v>14.016984618905237</v>
      </c>
      <c r="G75" s="124">
        <f ca="1">IF(OFFSET('Mnth to Qtr'!B$25,$J75,0)=0,"",AVERAGE(OFFSET('Mnth to Qtr'!B$25,$J75,0):OFFSET('Mnth to Qtr'!B$23,$J75,0)))</f>
        <v>125.29621114856154</v>
      </c>
      <c r="H75" s="124">
        <f ca="1">IF(OFFSET('Mnth to Qtr'!C$25,$J75,0)="","",AVERAGE(OFFSET('Mnth to Qtr'!C$25,$J75,0):OFFSET('Mnth to Qtr'!C$23,$J75,0)))</f>
        <v>154.25333333333333</v>
      </c>
      <c r="I75" s="124">
        <f ca="1">IF(OFFSET('Mnth to Qtr'!D$25,$J75,0)="","",AVERAGE(OFFSET('Mnth to Qtr'!D$25,$J75,0):OFFSET('Mnth to Qtr'!D$23,$J75,0)))</f>
        <v>182.40666666666667</v>
      </c>
      <c r="J75" s="73">
        <f t="shared" si="3"/>
        <v>180</v>
      </c>
      <c r="K75" s="163">
        <f ca="1">I75-H75</f>
        <v>28.153333333333336</v>
      </c>
      <c r="L75" s="140">
        <f t="shared" si="5"/>
        <v>8025.6999999999989</v>
      </c>
      <c r="M75" s="141">
        <f t="shared" si="6"/>
        <v>782.67316246557937</v>
      </c>
      <c r="N75" s="148">
        <v>124</v>
      </c>
      <c r="O75" s="148">
        <v>125</v>
      </c>
      <c r="P75" s="41">
        <f t="shared" si="7"/>
        <v>124.5</v>
      </c>
      <c r="Q75" s="149" t="s">
        <v>118</v>
      </c>
      <c r="R75" s="149" t="s">
        <v>119</v>
      </c>
    </row>
    <row r="76" spans="1:18">
      <c r="A76" s="126">
        <v>41061</v>
      </c>
      <c r="B76" s="122">
        <v>8309.2000000000007</v>
      </c>
      <c r="C76" s="122">
        <f t="shared" si="4"/>
        <v>779.04010012997639</v>
      </c>
      <c r="D76" s="118">
        <v>6473.2</v>
      </c>
      <c r="E76" s="123">
        <v>6473.2</v>
      </c>
      <c r="F76" s="123">
        <v>14.658671014283819</v>
      </c>
      <c r="G76" s="124">
        <f ca="1">IF(OFFSET('Mnth to Qtr'!B$25,$J76,0)=0,"",AVERAGE(OFFSET('Mnth to Qtr'!B$25,$J76,0):OFFSET('Mnth to Qtr'!B$23,$J76,0)))</f>
        <v>120.91198410898134</v>
      </c>
      <c r="H76" s="124">
        <f ca="1">IF(OFFSET('Mnth to Qtr'!C$25,$J76,0)="","",AVERAGE(OFFSET('Mnth to Qtr'!C$25,$J76,0):OFFSET('Mnth to Qtr'!C$23,$J76,0)))</f>
        <v>152.65333333333334</v>
      </c>
      <c r="I76" s="124">
        <f ca="1">IF(OFFSET('Mnth to Qtr'!D$25,$J76,0)="","",AVERAGE(OFFSET('Mnth to Qtr'!D$25,$J76,0):OFFSET('Mnth to Qtr'!D$23,$J76,0)))</f>
        <v>178.64666666666668</v>
      </c>
      <c r="J76" s="73">
        <f t="shared" si="3"/>
        <v>183</v>
      </c>
      <c r="K76" s="163">
        <f t="shared" ref="K76:K92" ca="1" si="8">I76-H76</f>
        <v>25.993333333333339</v>
      </c>
      <c r="L76" s="140">
        <f t="shared" si="5"/>
        <v>8309.2000000000007</v>
      </c>
      <c r="M76" s="141">
        <f t="shared" si="6"/>
        <v>779.04010012997639</v>
      </c>
      <c r="N76" s="148">
        <v>120</v>
      </c>
      <c r="O76" s="148">
        <v>121</v>
      </c>
      <c r="P76" s="41">
        <f t="shared" si="7"/>
        <v>120.5</v>
      </c>
      <c r="Q76" s="149" t="s">
        <v>117</v>
      </c>
      <c r="R76" s="149" t="s">
        <v>120</v>
      </c>
    </row>
    <row r="77" spans="1:18">
      <c r="A77" s="126">
        <v>41153</v>
      </c>
      <c r="B77" s="122">
        <v>8333.2000000000007</v>
      </c>
      <c r="C77" s="122">
        <f t="shared" si="4"/>
        <v>790.27264436230973</v>
      </c>
      <c r="D77" s="118">
        <v>6585.5</v>
      </c>
      <c r="E77" s="123">
        <v>6585.5</v>
      </c>
      <c r="F77" s="123">
        <v>14.51459257325611</v>
      </c>
      <c r="G77" s="124">
        <f ca="1">IF(OFFSET('Mnth to Qtr'!B$25,$J77,0)=0,"",AVERAGE(OFFSET('Mnth to Qtr'!B$25,$J77,0):OFFSET('Mnth to Qtr'!B$23,$J77,0)))</f>
        <v>119.68908502750367</v>
      </c>
      <c r="H77" s="124">
        <f ca="1">IF(OFFSET('Mnth to Qtr'!C$25,$J77,0)="","",AVERAGE(OFFSET('Mnth to Qtr'!C$25,$J77,0):OFFSET('Mnth to Qtr'!C$23,$J77,0)))</f>
        <v>141.82000000000002</v>
      </c>
      <c r="I77" s="124">
        <f ca="1">IF(OFFSET('Mnth to Qtr'!D$25,$J77,0)="","",AVERAGE(OFFSET('Mnth to Qtr'!D$25,$J77,0):OFFSET('Mnth to Qtr'!D$23,$J77,0)))</f>
        <v>150.57333333333335</v>
      </c>
      <c r="J77" s="73">
        <f t="shared" si="3"/>
        <v>186</v>
      </c>
      <c r="K77" s="163">
        <f t="shared" ca="1" si="8"/>
        <v>8.7533333333333303</v>
      </c>
      <c r="L77" s="140">
        <f t="shared" si="5"/>
        <v>8333.2000000000007</v>
      </c>
      <c r="M77" s="141">
        <f t="shared" si="6"/>
        <v>790.27264436230973</v>
      </c>
      <c r="N77" s="148">
        <v>119</v>
      </c>
      <c r="O77" s="148">
        <v>120</v>
      </c>
      <c r="P77" s="41">
        <f t="shared" si="7"/>
        <v>119.5</v>
      </c>
      <c r="Q77" s="149" t="s">
        <v>122</v>
      </c>
      <c r="R77" s="149" t="s">
        <v>121</v>
      </c>
    </row>
    <row r="78" spans="1:18">
      <c r="A78" s="126">
        <v>41244</v>
      </c>
      <c r="B78" s="122">
        <v>8282.7000000000007</v>
      </c>
      <c r="C78" s="122">
        <f t="shared" si="4"/>
        <v>793.50936288891296</v>
      </c>
      <c r="D78" s="118">
        <v>6572.4</v>
      </c>
      <c r="E78" s="123">
        <v>6572.4</v>
      </c>
      <c r="F78" s="123">
        <v>14.171238460867404</v>
      </c>
      <c r="G78" s="124">
        <f ca="1">IF(OFFSET('Mnth to Qtr'!B$25,$J78,0)=0,"",AVERAGE(OFFSET('Mnth to Qtr'!B$25,$J78,0):OFFSET('Mnth to Qtr'!B$23,$J78,0)))</f>
        <v>125.54089180527133</v>
      </c>
      <c r="H78" s="124">
        <f ca="1">IF(OFFSET('Mnth to Qtr'!C$25,$J78,0)="","",AVERAGE(OFFSET('Mnth to Qtr'!C$25,$J78,0):OFFSET('Mnth to Qtr'!C$23,$J78,0)))</f>
        <v>146.5</v>
      </c>
      <c r="I78" s="124">
        <f ca="1">IF(OFFSET('Mnth to Qtr'!D$25,$J78,0)="","",AVERAGE(OFFSET('Mnth to Qtr'!D$25,$J78,0):OFFSET('Mnth to Qtr'!D$23,$J78,0)))</f>
        <v>161.41666666666666</v>
      </c>
      <c r="J78" s="73">
        <f t="shared" si="3"/>
        <v>189</v>
      </c>
      <c r="K78" s="163">
        <f t="shared" ca="1" si="8"/>
        <v>14.916666666666657</v>
      </c>
      <c r="L78" s="140">
        <f t="shared" si="5"/>
        <v>8282.7000000000007</v>
      </c>
      <c r="M78" s="141">
        <f t="shared" si="6"/>
        <v>793.50936288891296</v>
      </c>
      <c r="N78" s="148">
        <v>125</v>
      </c>
      <c r="O78" s="148">
        <v>126</v>
      </c>
      <c r="P78" s="41">
        <f t="shared" si="7"/>
        <v>125.5</v>
      </c>
      <c r="Q78" s="149" t="s">
        <v>124</v>
      </c>
      <c r="R78" s="149" t="s">
        <v>125</v>
      </c>
    </row>
    <row r="79" spans="1:18">
      <c r="A79" s="126">
        <v>41334</v>
      </c>
      <c r="B79" s="122">
        <v>7780.9</v>
      </c>
      <c r="C79" s="122">
        <f t="shared" si="4"/>
        <v>793.54573378400971</v>
      </c>
      <c r="D79" s="118">
        <v>6174.5000000000009</v>
      </c>
      <c r="E79" s="123">
        <v>6174.5000000000009</v>
      </c>
      <c r="F79" s="123">
        <v>13.679191399480265</v>
      </c>
      <c r="G79" s="124">
        <f ca="1">IF(OFFSET('Mnth to Qtr'!B$25,$J79,0)=0,"",AVERAGE(OFFSET('Mnth to Qtr'!B$25,$J79,0):OFFSET('Mnth to Qtr'!B$23,$J79,0)))</f>
        <v>125.51435467595958</v>
      </c>
      <c r="H79" s="124">
        <f ca="1">IF(OFFSET('Mnth to Qtr'!C$25,$J79,0)="","",AVERAGE(OFFSET('Mnth to Qtr'!C$25,$J79,0):OFFSET('Mnth to Qtr'!C$23,$J79,0)))</f>
        <v>142.41</v>
      </c>
      <c r="I79" s="124">
        <f ca="1">IF(OFFSET('Mnth to Qtr'!D$25,$J79,0)="","",AVERAGE(OFFSET('Mnth to Qtr'!D$25,$J79,0):OFFSET('Mnth to Qtr'!D$23,$J79,0)))</f>
        <v>170.13</v>
      </c>
      <c r="J79" s="73">
        <f t="shared" si="3"/>
        <v>192</v>
      </c>
      <c r="K79" s="163">
        <f t="shared" ca="1" si="8"/>
        <v>27.72</v>
      </c>
      <c r="L79" s="140">
        <f t="shared" si="5"/>
        <v>7780.9</v>
      </c>
      <c r="M79" s="141">
        <f t="shared" si="6"/>
        <v>793.54573378400971</v>
      </c>
      <c r="N79" s="150">
        <v>125</v>
      </c>
      <c r="O79" s="150">
        <v>126</v>
      </c>
      <c r="P79" s="41">
        <f t="shared" si="7"/>
        <v>125.5</v>
      </c>
      <c r="Q79" s="149" t="s">
        <v>126</v>
      </c>
      <c r="R79" s="149" t="s">
        <v>127</v>
      </c>
    </row>
    <row r="80" spans="1:18">
      <c r="A80" s="126">
        <v>41426</v>
      </c>
      <c r="B80" s="122">
        <v>8325</v>
      </c>
      <c r="C80" s="122">
        <f t="shared" si="4"/>
        <v>782.36636636636638</v>
      </c>
      <c r="D80" s="118">
        <v>6513.2</v>
      </c>
      <c r="E80" s="123">
        <v>6513.2</v>
      </c>
      <c r="F80" s="123">
        <v>14.517515940663145</v>
      </c>
      <c r="G80" s="124">
        <f ca="1">IF(OFFSET('Mnth to Qtr'!B$25,$J80,0)=0,"",AVERAGE(OFFSET('Mnth to Qtr'!B$25,$J80,0):OFFSET('Mnth to Qtr'!B$23,$J80,0)))</f>
        <v>124.94749644243542</v>
      </c>
      <c r="H80" s="124">
        <f ca="1">IF(OFFSET('Mnth to Qtr'!C$25,$J80,0)="","",AVERAGE(OFFSET('Mnth to Qtr'!C$25,$J80,0):OFFSET('Mnth to Qtr'!C$23,$J80,0)))</f>
        <v>137.34</v>
      </c>
      <c r="I80" s="124">
        <f ca="1">IF(OFFSET('Mnth to Qtr'!D$25,$J80,0)="","",AVERAGE(OFFSET('Mnth to Qtr'!D$25,$J80,0):OFFSET('Mnth to Qtr'!D$23,$J80,0)))</f>
        <v>159.71333333333334</v>
      </c>
      <c r="J80" s="73">
        <f t="shared" si="3"/>
        <v>195</v>
      </c>
      <c r="K80" s="163">
        <f t="shared" ca="1" si="8"/>
        <v>22.373333333333335</v>
      </c>
      <c r="L80" s="140">
        <f t="shared" si="5"/>
        <v>8325</v>
      </c>
      <c r="M80" s="141">
        <f t="shared" si="6"/>
        <v>782.36636636636638</v>
      </c>
      <c r="N80" s="150">
        <v>125</v>
      </c>
      <c r="O80" s="150">
        <v>126</v>
      </c>
      <c r="P80" s="41">
        <f t="shared" si="7"/>
        <v>125.5</v>
      </c>
      <c r="Q80" s="149" t="s">
        <v>131</v>
      </c>
      <c r="R80" s="149" t="s">
        <v>130</v>
      </c>
    </row>
    <row r="81" spans="1:18">
      <c r="A81" s="126">
        <v>41518</v>
      </c>
      <c r="B81" s="122">
        <v>8321.1</v>
      </c>
      <c r="C81" s="122">
        <f t="shared" si="4"/>
        <v>794.25797070098895</v>
      </c>
      <c r="D81" s="118">
        <v>6609.0999999999995</v>
      </c>
      <c r="E81" s="123">
        <v>6609.0999999999995</v>
      </c>
      <c r="F81" s="123">
        <v>14.292434196280782</v>
      </c>
      <c r="G81" s="124">
        <f ca="1">IF(OFFSET('Mnth to Qtr'!B$25,$J81,0)=0,"",AVERAGE(OFFSET('Mnth to Qtr'!B$25,$J81,0):OFFSET('Mnth to Qtr'!B$23,$J81,0)))</f>
        <v>122.30150335736037</v>
      </c>
      <c r="H81" s="124">
        <f ca="1">IF(OFFSET('Mnth to Qtr'!C$25,$J81,0)="","",AVERAGE(OFFSET('Mnth to Qtr'!C$25,$J81,0):OFFSET('Mnth to Qtr'!C$23,$J81,0)))</f>
        <v>155.95333333333335</v>
      </c>
      <c r="I81" s="124">
        <f ca="1">IF(OFFSET('Mnth to Qtr'!D$25,$J81,0)="","",AVERAGE(OFFSET('Mnth to Qtr'!D$25,$J81,0):OFFSET('Mnth to Qtr'!D$23,$J81,0)))</f>
        <v>171.19333333333336</v>
      </c>
      <c r="J81" s="73">
        <f t="shared" si="3"/>
        <v>198</v>
      </c>
      <c r="K81" s="163">
        <f t="shared" ca="1" si="8"/>
        <v>15.240000000000009</v>
      </c>
      <c r="L81" s="140">
        <f t="shared" si="5"/>
        <v>8321.1</v>
      </c>
      <c r="M81" s="141">
        <f t="shared" si="6"/>
        <v>794.25797070098895</v>
      </c>
      <c r="N81" s="150">
        <v>122</v>
      </c>
      <c r="O81" s="150">
        <v>123</v>
      </c>
      <c r="P81" s="41">
        <f t="shared" si="7"/>
        <v>122.5</v>
      </c>
      <c r="Q81" s="149" t="s">
        <v>132</v>
      </c>
      <c r="R81" s="149" t="s">
        <v>133</v>
      </c>
    </row>
    <row r="82" spans="1:18">
      <c r="A82" s="126">
        <v>41609</v>
      </c>
      <c r="B82" s="122">
        <v>8035.2999999999993</v>
      </c>
      <c r="C82" s="122">
        <f t="shared" si="4"/>
        <v>799.36032257663055</v>
      </c>
      <c r="D82" s="118">
        <v>6423.0999999999995</v>
      </c>
      <c r="E82" s="123">
        <v>6423.0999999999995</v>
      </c>
      <c r="F82" s="123">
        <v>13.881716204229907</v>
      </c>
      <c r="G82" s="124">
        <f ca="1">IF(OFFSET('Mnth to Qtr'!B$25,$J82,0)=0,"",AVERAGE(OFFSET('Mnth to Qtr'!B$25,$J82,0):OFFSET('Mnth to Qtr'!B$23,$J82,0)))</f>
        <v>130.77131688456055</v>
      </c>
      <c r="H82" s="124">
        <f ca="1">IF(OFFSET('Mnth to Qtr'!C$25,$J82,0)="","",AVERAGE(OFFSET('Mnth to Qtr'!C$25,$J82,0):OFFSET('Mnth to Qtr'!C$23,$J82,0)))</f>
        <v>167.04333333333332</v>
      </c>
      <c r="I82" s="124">
        <f ca="1">IF(OFFSET('Mnth to Qtr'!D$25,$J82,0)="","",AVERAGE(OFFSET('Mnth to Qtr'!D$25,$J82,0):OFFSET('Mnth to Qtr'!D$23,$J82,0)))</f>
        <v>187.56333333333336</v>
      </c>
      <c r="J82" s="73">
        <f t="shared" si="3"/>
        <v>201</v>
      </c>
      <c r="K82" s="163">
        <f t="shared" ca="1" si="8"/>
        <v>20.520000000000039</v>
      </c>
      <c r="L82" s="140">
        <f t="shared" si="5"/>
        <v>8035.2999999999993</v>
      </c>
      <c r="M82" s="141">
        <f t="shared" si="6"/>
        <v>799.36032257663055</v>
      </c>
      <c r="N82" s="150">
        <v>130</v>
      </c>
      <c r="O82" s="150">
        <v>131</v>
      </c>
      <c r="P82" s="41">
        <f t="shared" si="7"/>
        <v>130.5</v>
      </c>
      <c r="Q82" s="149" t="s">
        <v>136</v>
      </c>
      <c r="R82" s="149" t="s">
        <v>137</v>
      </c>
    </row>
    <row r="83" spans="1:18">
      <c r="A83" s="126">
        <v>41699</v>
      </c>
      <c r="B83" s="122">
        <v>7374.2000000000007</v>
      </c>
      <c r="C83" s="122">
        <f t="shared" si="4"/>
        <v>795.70665292506305</v>
      </c>
      <c r="D83" s="118">
        <v>5867.7000000000007</v>
      </c>
      <c r="E83" s="123">
        <v>5867.7000000000007</v>
      </c>
      <c r="F83" s="123">
        <v>13.135171620556704</v>
      </c>
      <c r="G83" s="124">
        <f ca="1">IF(OFFSET('Mnth to Qtr'!B$25,$J83,0)=0,"",AVERAGE(OFFSET('Mnth to Qtr'!B$25,$J83,0):OFFSET('Mnth to Qtr'!B$23,$J83,0)))</f>
        <v>146.33860678320818</v>
      </c>
      <c r="H83" s="124">
        <f ca="1">IF(OFFSET('Mnth to Qtr'!C$25,$J83,0)="","",AVERAGE(OFFSET('Mnth to Qtr'!C$25,$J83,0):OFFSET('Mnth to Qtr'!C$23,$J83,0)))</f>
        <v>171.77333333333334</v>
      </c>
      <c r="I83" s="124">
        <f ca="1">IF(OFFSET('Mnth to Qtr'!D$25,$J83,0)="","",AVERAGE(OFFSET('Mnth to Qtr'!D$25,$J83,0):OFFSET('Mnth to Qtr'!D$23,$J83,0)))</f>
        <v>209.30333333333331</v>
      </c>
      <c r="J83" s="73">
        <f t="shared" si="3"/>
        <v>204</v>
      </c>
      <c r="K83" s="163">
        <f t="shared" ca="1" si="8"/>
        <v>37.529999999999973</v>
      </c>
      <c r="L83" s="140">
        <f t="shared" si="5"/>
        <v>7374.2000000000007</v>
      </c>
      <c r="M83" s="141">
        <f t="shared" si="6"/>
        <v>795.70665292506305</v>
      </c>
      <c r="N83" s="150">
        <v>144</v>
      </c>
      <c r="O83" s="150">
        <v>145</v>
      </c>
      <c r="P83" s="41">
        <f t="shared" si="7"/>
        <v>144.5</v>
      </c>
      <c r="Q83" s="149" t="s">
        <v>138</v>
      </c>
      <c r="R83" s="149" t="s">
        <v>139</v>
      </c>
    </row>
    <row r="84" spans="1:18">
      <c r="A84" s="126">
        <v>41791</v>
      </c>
      <c r="B84" s="122">
        <v>7837.2999999999993</v>
      </c>
      <c r="C84" s="122">
        <f t="shared" si="4"/>
        <v>789.02172942212235</v>
      </c>
      <c r="D84" s="118">
        <v>6183.7999999999993</v>
      </c>
      <c r="E84" s="123">
        <v>6183.7999999999993</v>
      </c>
      <c r="F84" s="123">
        <v>13.978097945084345</v>
      </c>
      <c r="G84" s="124">
        <f ca="1">IF(OFFSET('Mnth to Qtr'!B$25,$J84,0)=0,"",AVERAGE(OFFSET('Mnth to Qtr'!B$25,$J84,0):OFFSET('Mnth to Qtr'!B$23,$J84,0)))</f>
        <v>147.81512806862426</v>
      </c>
      <c r="H84" s="124">
        <f ca="1">IF(OFFSET('Mnth to Qtr'!C$25,$J84,0)="","",AVERAGE(OFFSET('Mnth to Qtr'!C$25,$J84,0):OFFSET('Mnth to Qtr'!C$23,$J84,0)))</f>
        <v>193.15666666666667</v>
      </c>
      <c r="I84" s="124">
        <f ca="1">IF(OFFSET('Mnth to Qtr'!D$25,$J84,0)="","",AVERAGE(OFFSET('Mnth to Qtr'!D$25,$J84,0):OFFSET('Mnth to Qtr'!D$23,$J84,0)))</f>
        <v>227.66666666666666</v>
      </c>
      <c r="J84" s="73">
        <f t="shared" ref="J84:J131" si="9">J83+3</f>
        <v>207</v>
      </c>
      <c r="K84" s="163">
        <f t="shared" ca="1" si="8"/>
        <v>34.509999999999991</v>
      </c>
      <c r="L84" s="140">
        <f t="shared" si="5"/>
        <v>7837.2999999999993</v>
      </c>
      <c r="M84" s="141">
        <f t="shared" si="6"/>
        <v>789.02172942212235</v>
      </c>
      <c r="N84" s="150">
        <v>147</v>
      </c>
      <c r="O84" s="150">
        <v>148</v>
      </c>
      <c r="P84" s="41">
        <f t="shared" si="7"/>
        <v>147.5</v>
      </c>
      <c r="Q84" s="149" t="s">
        <v>140</v>
      </c>
      <c r="R84" s="149" t="s">
        <v>141</v>
      </c>
    </row>
    <row r="85" spans="1:18">
      <c r="A85" s="126">
        <v>41883</v>
      </c>
      <c r="B85" s="122">
        <v>7632.4</v>
      </c>
      <c r="C85" s="122">
        <f t="shared" si="4"/>
        <v>809.61427598134264</v>
      </c>
      <c r="D85" s="118">
        <v>6179.2999999999993</v>
      </c>
      <c r="E85" s="123">
        <v>6179.2999999999993</v>
      </c>
      <c r="F85" s="123">
        <v>13.710350902523105</v>
      </c>
      <c r="G85" s="124">
        <f ca="1">IF(OFFSET('Mnth to Qtr'!B$25,$J85,0)=0,"",AVERAGE(OFFSET('Mnth to Qtr'!B$25,$J85,0):OFFSET('Mnth to Qtr'!B$23,$J85,0)))</f>
        <v>158.4895208435822</v>
      </c>
      <c r="H85" s="124">
        <f ca="1">IF(OFFSET('Mnth to Qtr'!C$25,$J85,0)="","",AVERAGE(OFFSET('Mnth to Qtr'!C$25,$J85,0):OFFSET('Mnth to Qtr'!C$23,$J85,0)))</f>
        <v>225.92999999999998</v>
      </c>
      <c r="I85" s="124">
        <f ca="1">IF(OFFSET('Mnth to Qtr'!D$25,$J85,0)="","",AVERAGE(OFFSET('Mnth to Qtr'!D$25,$J85,0):OFFSET('Mnth to Qtr'!D$23,$J85,0)))</f>
        <v>263.13666666666666</v>
      </c>
      <c r="J85" s="73">
        <f t="shared" si="9"/>
        <v>210</v>
      </c>
      <c r="K85" s="163">
        <f t="shared" ca="1" si="8"/>
        <v>37.206666666666678</v>
      </c>
      <c r="L85" s="140">
        <f t="shared" si="5"/>
        <v>7632.4</v>
      </c>
      <c r="M85" s="141">
        <f t="shared" si="6"/>
        <v>809.61427598134264</v>
      </c>
      <c r="N85" s="150">
        <v>158</v>
      </c>
      <c r="O85" s="150">
        <v>159</v>
      </c>
      <c r="P85" s="41">
        <f t="shared" si="7"/>
        <v>158.5</v>
      </c>
      <c r="Q85" s="149" t="s">
        <v>142</v>
      </c>
      <c r="R85" s="149" t="s">
        <v>143</v>
      </c>
    </row>
    <row r="86" spans="1:18">
      <c r="A86" s="126">
        <v>41974</v>
      </c>
      <c r="B86" s="122">
        <v>7326.0000000000009</v>
      </c>
      <c r="C86" s="122">
        <f t="shared" si="4"/>
        <v>821.84002184002179</v>
      </c>
      <c r="D86" s="118">
        <v>6020.8</v>
      </c>
      <c r="E86" s="123">
        <v>6020.8</v>
      </c>
      <c r="F86" s="123">
        <v>13.424296349407799</v>
      </c>
      <c r="G86" s="124">
        <f ca="1">IF(OFFSET('Mnth to Qtr'!B$25,$J86,0)=0,"",AVERAGE(OFFSET('Mnth to Qtr'!B$25,$J86,0):OFFSET('Mnth to Qtr'!B$23,$J86,0)))</f>
        <v>165.59457106571361</v>
      </c>
      <c r="H86" s="124">
        <f ca="1">IF(OFFSET('Mnth to Qtr'!C$25,$J86,0)="","",AVERAGE(OFFSET('Mnth to Qtr'!C$25,$J86,0):OFFSET('Mnth to Qtr'!C$23,$J86,0)))</f>
        <v>239.8133333333333</v>
      </c>
      <c r="I86" s="124">
        <f ca="1">IF(OFFSET('Mnth to Qtr'!D$25,$J86,0)="","",AVERAGE(OFFSET('Mnth to Qtr'!D$25,$J86,0):OFFSET('Mnth to Qtr'!D$23,$J86,0)))</f>
        <v>285.63333333333327</v>
      </c>
      <c r="J86" s="73">
        <f t="shared" si="9"/>
        <v>213</v>
      </c>
      <c r="K86" s="163">
        <f t="shared" ca="1" si="8"/>
        <v>45.819999999999965</v>
      </c>
      <c r="L86" s="140">
        <f t="shared" si="5"/>
        <v>7326.0000000000009</v>
      </c>
      <c r="M86" s="141">
        <f t="shared" si="6"/>
        <v>821.84002184002179</v>
      </c>
      <c r="N86" s="151">
        <v>165</v>
      </c>
      <c r="O86" s="151">
        <v>166</v>
      </c>
      <c r="P86" s="41">
        <f t="shared" si="7"/>
        <v>165.5</v>
      </c>
      <c r="Q86" s="152" t="s">
        <v>144</v>
      </c>
      <c r="R86" s="152" t="s">
        <v>145</v>
      </c>
    </row>
    <row r="87" spans="1:18">
      <c r="A87" s="126">
        <v>42064</v>
      </c>
      <c r="B87" s="122">
        <v>6968.7999999999993</v>
      </c>
      <c r="C87" s="122">
        <f t="shared" si="4"/>
        <v>812.89461600275513</v>
      </c>
      <c r="D87" s="118">
        <v>5664.9</v>
      </c>
      <c r="E87" s="123">
        <v>5664.9</v>
      </c>
      <c r="F87" s="123">
        <v>13.106997805792169</v>
      </c>
      <c r="G87" s="124">
        <f ca="1">IF(OFFSET('Mnth to Qtr'!B$25,$J87,0)=0,"",AVERAGE(OFFSET('Mnth to Qtr'!B$25,$J87,0):OFFSET('Mnth to Qtr'!B$23,$J87,0)))</f>
        <v>162.43269558761071</v>
      </c>
      <c r="H87" s="124">
        <f ca="1">IF(OFFSET('Mnth to Qtr'!C$25,$J87,0)="","",AVERAGE(OFFSET('Mnth to Qtr'!C$25,$J87,0):OFFSET('Mnth to Qtr'!C$23,$J87,0)))</f>
        <v>215.87333333333333</v>
      </c>
      <c r="I87" s="124">
        <f ca="1">IF(OFFSET('Mnth to Qtr'!D$25,$J87,0)="","",AVERAGE(OFFSET('Mnth to Qtr'!D$25,$J87,0):OFFSET('Mnth to Qtr'!D$23,$J87,0)))</f>
        <v>276.13666666666671</v>
      </c>
      <c r="J87" s="73">
        <f t="shared" si="9"/>
        <v>216</v>
      </c>
      <c r="K87" s="163">
        <f t="shared" ca="1" si="8"/>
        <v>60.263333333333378</v>
      </c>
      <c r="L87" s="140">
        <f t="shared" si="5"/>
        <v>6968.7999999999993</v>
      </c>
      <c r="M87" s="141">
        <f t="shared" si="6"/>
        <v>812.89461600275513</v>
      </c>
      <c r="N87" s="151">
        <v>162</v>
      </c>
      <c r="O87" s="151">
        <v>163</v>
      </c>
      <c r="P87" s="41">
        <f>IF(N87="","",(N87+O87)/2)</f>
        <v>162.5</v>
      </c>
      <c r="Q87" s="152" t="s">
        <v>148</v>
      </c>
      <c r="R87" s="152" t="s">
        <v>149</v>
      </c>
    </row>
    <row r="88" spans="1:18">
      <c r="A88" s="126">
        <v>42156</v>
      </c>
      <c r="B88" s="122">
        <v>7228.7000000000007</v>
      </c>
      <c r="C88" s="122">
        <f t="shared" si="4"/>
        <v>810.09033436164168</v>
      </c>
      <c r="D88" s="118">
        <v>5855.9</v>
      </c>
      <c r="E88" s="123">
        <v>5855.9</v>
      </c>
      <c r="F88" s="123">
        <v>13.657066387566275</v>
      </c>
      <c r="G88" s="124">
        <f ca="1">IF(OFFSET('Mnth to Qtr'!B$25,$J88,0)=0,"",AVERAGE(OFFSET('Mnth to Qtr'!B$25,$J88,0):OFFSET('Mnth to Qtr'!B$23,$J88,0)))</f>
        <v>158.11387729197435</v>
      </c>
      <c r="H88" s="124">
        <f ca="1">IF(OFFSET('Mnth to Qtr'!C$25,$J88,0)="","",AVERAGE(OFFSET('Mnth to Qtr'!C$25,$J88,0):OFFSET('Mnth to Qtr'!C$23,$J88,0)))</f>
        <v>225.29333333333332</v>
      </c>
      <c r="I88" s="124">
        <f ca="1">IF(OFFSET('Mnth to Qtr'!D$25,$J88,0)="","",AVERAGE(OFFSET('Mnth to Qtr'!D$25,$J88,0):OFFSET('Mnth to Qtr'!D$23,$J88,0)))</f>
        <v>279.32333333333332</v>
      </c>
      <c r="J88" s="73">
        <f t="shared" si="9"/>
        <v>219</v>
      </c>
      <c r="K88" s="163">
        <f t="shared" ca="1" si="8"/>
        <v>54.03</v>
      </c>
      <c r="L88" s="140">
        <f t="shared" si="5"/>
        <v>7228.7000000000007</v>
      </c>
      <c r="M88" s="141">
        <f t="shared" si="6"/>
        <v>810.09033436164168</v>
      </c>
      <c r="N88" s="150">
        <v>158</v>
      </c>
      <c r="O88" s="150">
        <v>159</v>
      </c>
      <c r="P88" s="41">
        <f t="shared" si="7"/>
        <v>158.5</v>
      </c>
      <c r="Q88" s="149" t="s">
        <v>150</v>
      </c>
      <c r="R88" s="149" t="s">
        <v>151</v>
      </c>
    </row>
    <row r="89" spans="1:18">
      <c r="A89" s="126">
        <v>42248</v>
      </c>
      <c r="B89" s="122">
        <v>7291.2000000000007</v>
      </c>
      <c r="C89" s="122">
        <f t="shared" si="4"/>
        <v>832.27726574500753</v>
      </c>
      <c r="D89" s="118">
        <v>6068.2999999999993</v>
      </c>
      <c r="E89" s="123">
        <v>6068.2999999999993</v>
      </c>
      <c r="F89" s="123">
        <v>13.928800319763122</v>
      </c>
      <c r="G89" s="124">
        <f ca="1">IF(OFFSET('Mnth to Qtr'!B$25,$J89,0)=0,"",AVERAGE(OFFSET('Mnth to Qtr'!B$25,$J89,0):OFFSET('Mnth to Qtr'!B$23,$J89,0)))</f>
        <v>144.21665474742275</v>
      </c>
      <c r="H89" s="124">
        <f ca="1">IF(OFFSET('Mnth to Qtr'!C$25,$J89,0)="","",AVERAGE(OFFSET('Mnth to Qtr'!C$25,$J89,0):OFFSET('Mnth to Qtr'!C$23,$J89,0)))</f>
        <v>214.38</v>
      </c>
      <c r="I89" s="124">
        <f ca="1">IF(OFFSET('Mnth to Qtr'!D$25,$J89,0)="","",AVERAGE(OFFSET('Mnth to Qtr'!D$25,$J89,0):OFFSET('Mnth to Qtr'!D$23,$J89,0)))</f>
        <v>246.03666666666663</v>
      </c>
      <c r="J89" s="73">
        <f t="shared" si="9"/>
        <v>222</v>
      </c>
      <c r="K89" s="163">
        <f t="shared" ca="1" si="8"/>
        <v>31.656666666666638</v>
      </c>
      <c r="L89" s="140">
        <f t="shared" si="5"/>
        <v>7291.2000000000007</v>
      </c>
      <c r="M89" s="141">
        <f t="shared" si="6"/>
        <v>832.27726574500753</v>
      </c>
      <c r="N89" s="150">
        <v>143</v>
      </c>
      <c r="O89" s="150">
        <v>144</v>
      </c>
      <c r="P89" s="41">
        <f t="shared" si="7"/>
        <v>143.5</v>
      </c>
      <c r="Q89" s="149" t="s">
        <v>153</v>
      </c>
      <c r="R89" s="149" t="s">
        <v>152</v>
      </c>
    </row>
    <row r="90" spans="1:18">
      <c r="A90" s="126">
        <v>42339</v>
      </c>
      <c r="B90" s="122">
        <v>7262.9</v>
      </c>
      <c r="C90" s="122">
        <f t="shared" si="4"/>
        <v>841.08276308361678</v>
      </c>
      <c r="D90" s="118">
        <v>6108.7</v>
      </c>
      <c r="E90" s="123">
        <v>6108.7</v>
      </c>
      <c r="F90" s="123">
        <v>13.333737482058655</v>
      </c>
      <c r="G90" s="124">
        <f ca="1">IF(OFFSET('Mnth to Qtr'!B$25,$J90,0)=0,"",AVERAGE(OFFSET('Mnth to Qtr'!B$25,$J90,0):OFFSET('Mnth to Qtr'!B$23,$J90,0)))</f>
        <v>127.71625025066767</v>
      </c>
      <c r="H90" s="124">
        <f ca="1">IF(OFFSET('Mnth to Qtr'!C$25,$J90,0)="","",AVERAGE(OFFSET('Mnth to Qtr'!C$25,$J90,0):OFFSET('Mnth to Qtr'!C$23,$J90,0)))</f>
        <v>177.29</v>
      </c>
      <c r="I90" s="124">
        <f ca="1">IF(OFFSET('Mnth to Qtr'!D$25,$J90,0)="","",AVERAGE(OFFSET('Mnth to Qtr'!D$25,$J90,0):OFFSET('Mnth to Qtr'!D$23,$J90,0)))</f>
        <v>203.51</v>
      </c>
      <c r="J90" s="73">
        <f t="shared" si="9"/>
        <v>225</v>
      </c>
      <c r="K90" s="163">
        <f t="shared" ca="1" si="8"/>
        <v>26.22</v>
      </c>
      <c r="L90" s="140">
        <f t="shared" si="5"/>
        <v>7262.9</v>
      </c>
      <c r="M90" s="141">
        <f t="shared" si="6"/>
        <v>841.08276308361678</v>
      </c>
      <c r="N90" s="150">
        <v>143</v>
      </c>
      <c r="O90" s="150">
        <v>144</v>
      </c>
      <c r="P90" s="41">
        <f t="shared" si="7"/>
        <v>143.5</v>
      </c>
      <c r="Q90" s="152" t="s">
        <v>154</v>
      </c>
      <c r="R90" s="152" t="s">
        <v>155</v>
      </c>
    </row>
    <row r="91" spans="1:18">
      <c r="A91" s="126">
        <v>42430</v>
      </c>
      <c r="B91" s="122">
        <v>7184.2000000000007</v>
      </c>
      <c r="C91" s="122">
        <f t="shared" si="4"/>
        <v>826.46641240499969</v>
      </c>
      <c r="D91" s="118">
        <v>5937.5</v>
      </c>
      <c r="E91" s="123">
        <v>5937.5</v>
      </c>
      <c r="F91" s="123">
        <v>13.59594772934412</v>
      </c>
      <c r="G91" s="124">
        <f ca="1">IF(OFFSET('Mnth to Qtr'!B$25,$J91,0)=0,"",AVERAGE(OFFSET('Mnth to Qtr'!B$25,$J91,0):OFFSET('Mnth to Qtr'!B$23,$J91,0)))</f>
        <v>134.80633634961669</v>
      </c>
      <c r="H91" s="124">
        <f ca="1">IF(OFFSET('Mnth to Qtr'!C$25,$J91,0)="","",AVERAGE(OFFSET('Mnth to Qtr'!C$25,$J91,0):OFFSET('Mnth to Qtr'!C$23,$J91,0)))</f>
        <v>160.06333333333336</v>
      </c>
      <c r="I91" s="124">
        <f ca="1">IF(OFFSET('Mnth to Qtr'!D$25,$J91,0)="","",AVERAGE(OFFSET('Mnth to Qtr'!D$25,$J91,0):OFFSET('Mnth to Qtr'!D$23,$J91,0)))</f>
        <v>195.73000000000002</v>
      </c>
      <c r="J91" s="73">
        <f t="shared" si="9"/>
        <v>228</v>
      </c>
      <c r="K91" s="163">
        <f t="shared" ca="1" si="8"/>
        <v>35.666666666666657</v>
      </c>
      <c r="L91" s="140">
        <f t="shared" si="5"/>
        <v>7184.2000000000007</v>
      </c>
      <c r="M91" s="141">
        <f t="shared" si="6"/>
        <v>826.46641240499969</v>
      </c>
      <c r="N91" s="150">
        <v>134</v>
      </c>
      <c r="O91" s="150">
        <v>135</v>
      </c>
      <c r="P91" s="41">
        <f t="shared" ref="P91:P98" si="10">IF(N91="","",(N91+O91)/2)</f>
        <v>134.5</v>
      </c>
      <c r="Q91" s="149" t="s">
        <v>125</v>
      </c>
      <c r="R91" s="149" t="s">
        <v>158</v>
      </c>
    </row>
    <row r="92" spans="1:18">
      <c r="A92" s="126">
        <v>42522</v>
      </c>
      <c r="B92" s="122">
        <v>7630.5</v>
      </c>
      <c r="C92" s="122">
        <f t="shared" si="4"/>
        <v>810.85118930607428</v>
      </c>
      <c r="D92" s="118">
        <v>6187.2</v>
      </c>
      <c r="E92" s="123">
        <v>6187.2</v>
      </c>
      <c r="F92" s="123">
        <v>13.938707267127819</v>
      </c>
      <c r="G92" s="124">
        <f ca="1">IF(OFFSET('Mnth to Qtr'!B$25,$J92,0)=0,"",AVERAGE(OFFSET('Mnth to Qtr'!B$25,$J92,0):OFFSET('Mnth to Qtr'!B$23,$J92,0)))</f>
        <v>127.68408662187237</v>
      </c>
      <c r="H92" s="124">
        <f ca="1">IF(OFFSET('Mnth to Qtr'!C$25,$J92,0)="","",AVERAGE(OFFSET('Mnth to Qtr'!C$25,$J92,0):OFFSET('Mnth to Qtr'!C$23,$J92,0)))</f>
        <v>149.22</v>
      </c>
      <c r="I92" s="124">
        <f ca="1">IF(OFFSET('Mnth to Qtr'!D$25,$J92,0)="","",AVERAGE(OFFSET('Mnth to Qtr'!D$25,$J92,0):OFFSET('Mnth to Qtr'!D$23,$J92,0)))</f>
        <v>173.86</v>
      </c>
      <c r="J92" s="73">
        <f t="shared" si="9"/>
        <v>231</v>
      </c>
      <c r="K92" s="163">
        <f t="shared" ca="1" si="8"/>
        <v>24.640000000000015</v>
      </c>
      <c r="L92" s="140">
        <f t="shared" si="5"/>
        <v>7630.5</v>
      </c>
      <c r="M92" s="141">
        <f t="shared" si="6"/>
        <v>810.85118930607428</v>
      </c>
      <c r="N92" s="150">
        <v>127</v>
      </c>
      <c r="O92" s="150">
        <v>128</v>
      </c>
      <c r="P92" s="41">
        <f t="shared" si="10"/>
        <v>127.5</v>
      </c>
      <c r="Q92" s="149" t="s">
        <v>107</v>
      </c>
      <c r="R92" s="149" t="s">
        <v>159</v>
      </c>
    </row>
    <row r="93" spans="1:18">
      <c r="A93" s="126">
        <v>42614</v>
      </c>
      <c r="B93" s="122">
        <v>7844.8</v>
      </c>
      <c r="C93" s="122">
        <f t="shared" si="4"/>
        <v>824.94136243116452</v>
      </c>
      <c r="D93" s="118">
        <v>6471.5</v>
      </c>
      <c r="E93" s="123">
        <v>6471.5</v>
      </c>
      <c r="F93" s="123">
        <v>14.05969607152872</v>
      </c>
      <c r="G93" s="124">
        <f ca="1">IF(OFFSET('Mnth to Qtr'!B$25,$J93,0)=0,"",AVERAGE(OFFSET('Mnth to Qtr'!B$25,$J93,0):OFFSET('Mnth to Qtr'!B$23,$J93,0)))</f>
        <v>113.22492403773548</v>
      </c>
      <c r="H93" s="124">
        <f ca="1">IF(OFFSET('Mnth to Qtr'!C$25,$J93,0)="","",AVERAGE(OFFSET('Mnth to Qtr'!C$25,$J93,0):OFFSET('Mnth to Qtr'!C$23,$J93,0)))</f>
        <v>144.10333333333332</v>
      </c>
      <c r="I93" s="124">
        <f ca="1">IF(OFFSET('Mnth to Qtr'!D$25,$J93,0)="","",AVERAGE(OFFSET('Mnth to Qtr'!D$25,$J93,0):OFFSET('Mnth to Qtr'!D$23,$J93,0)))</f>
        <v>157.12</v>
      </c>
      <c r="J93" s="73">
        <f t="shared" si="9"/>
        <v>234</v>
      </c>
      <c r="K93" s="163"/>
      <c r="L93" s="140">
        <f t="shared" si="5"/>
        <v>7844.8</v>
      </c>
      <c r="M93" s="141">
        <f t="shared" si="6"/>
        <v>824.94136243116452</v>
      </c>
      <c r="N93" s="151">
        <v>113</v>
      </c>
      <c r="O93" s="151">
        <v>114</v>
      </c>
      <c r="P93" s="41">
        <f t="shared" si="10"/>
        <v>113.5</v>
      </c>
      <c r="Q93" s="152" t="s">
        <v>160</v>
      </c>
      <c r="R93" s="152" t="s">
        <v>161</v>
      </c>
    </row>
    <row r="94" spans="1:18">
      <c r="A94" s="126">
        <v>42705</v>
      </c>
      <c r="B94" s="122">
        <v>7918.7</v>
      </c>
      <c r="C94" s="122">
        <f t="shared" si="4"/>
        <v>836.58933915920545</v>
      </c>
      <c r="D94" s="118">
        <v>6624.7</v>
      </c>
      <c r="E94" s="123">
        <v>6624.7</v>
      </c>
      <c r="F94" s="123">
        <v>14.002047072456364</v>
      </c>
      <c r="G94" s="124">
        <f ca="1">IF(OFFSET('Mnth to Qtr'!B$25,$J94,0)=0,"",AVERAGE(OFFSET('Mnth to Qtr'!B$25,$J94,0):OFFSET('Mnth to Qtr'!B$23,$J94,0)))</f>
        <v>107.68940187229322</v>
      </c>
      <c r="H94" s="124">
        <f ca="1">IF(OFFSET('Mnth to Qtr'!C$25,$J94,0)="","",AVERAGE(OFFSET('Mnth to Qtr'!C$25,$J94,0):OFFSET('Mnth to Qtr'!C$23,$J94,0)))</f>
        <v>129.07</v>
      </c>
      <c r="I94" s="124">
        <f ca="1">IF(OFFSET('Mnth to Qtr'!D$25,$J94,0)="","",AVERAGE(OFFSET('Mnth to Qtr'!D$25,$J94,0):OFFSET('Mnth to Qtr'!D$23,$J94,0)))</f>
        <v>138.43666666666664</v>
      </c>
      <c r="J94" s="73">
        <f t="shared" si="9"/>
        <v>237</v>
      </c>
      <c r="K94" s="163"/>
      <c r="L94" s="140">
        <f t="shared" si="5"/>
        <v>7918.7</v>
      </c>
      <c r="M94" s="141">
        <f t="shared" si="6"/>
        <v>836.58933915920545</v>
      </c>
      <c r="N94" s="151">
        <v>107</v>
      </c>
      <c r="O94" s="151">
        <v>108</v>
      </c>
      <c r="P94" s="41">
        <f t="shared" si="10"/>
        <v>107.5</v>
      </c>
      <c r="Q94" s="152" t="s">
        <v>163</v>
      </c>
      <c r="R94" s="152" t="s">
        <v>162</v>
      </c>
    </row>
    <row r="95" spans="1:18">
      <c r="A95" s="126">
        <v>42795</v>
      </c>
      <c r="B95" s="122">
        <v>7714.4000000000005</v>
      </c>
      <c r="C95" s="122">
        <f t="shared" ref="C95:C102" si="11">IF(B95="",0,D95/B95*1000)</f>
        <v>817.03048843720831</v>
      </c>
      <c r="D95" s="118">
        <v>6302.9</v>
      </c>
      <c r="E95" s="123">
        <v>6302.9</v>
      </c>
      <c r="F95" s="123">
        <v>14.056198198319381</v>
      </c>
      <c r="G95" s="124">
        <f ca="1">IF(OFFSET('Mnth to Qtr'!B$25,$J95,0)=0,"",AVERAGE(OFFSET('Mnth to Qtr'!B$25,$J95,0):OFFSET('Mnth to Qtr'!B$23,$J95,0)))</f>
        <v>122.96128290733365</v>
      </c>
      <c r="H95" s="124">
        <f ca="1">IF(OFFSET('Mnth to Qtr'!C$25,$J95,0)="","",AVERAGE(OFFSET('Mnth to Qtr'!C$25,$J95,0):OFFSET('Mnth to Qtr'!C$23,$J95,0)))</f>
        <v>132.88</v>
      </c>
      <c r="I95" s="124">
        <f ca="1">IF(OFFSET('Mnth to Qtr'!D$25,$J95,0)="","",AVERAGE(OFFSET('Mnth to Qtr'!D$25,$J95,0):OFFSET('Mnth to Qtr'!D$23,$J95,0)))</f>
        <v>157.38</v>
      </c>
      <c r="J95" s="73">
        <f t="shared" si="9"/>
        <v>240</v>
      </c>
      <c r="K95" s="163"/>
      <c r="L95" s="140">
        <f t="shared" si="5"/>
        <v>7714.4000000000005</v>
      </c>
      <c r="M95" s="141">
        <f t="shared" ref="M95:M102" si="12">+E95/L95*1000</f>
        <v>817.03048843720831</v>
      </c>
      <c r="N95" s="151">
        <v>123</v>
      </c>
      <c r="O95" s="151">
        <v>123</v>
      </c>
      <c r="P95" s="41">
        <f t="shared" si="10"/>
        <v>123</v>
      </c>
      <c r="Q95" s="152" t="s">
        <v>164</v>
      </c>
      <c r="R95" s="152" t="s">
        <v>165</v>
      </c>
    </row>
    <row r="96" spans="1:18">
      <c r="A96" s="126">
        <v>42887</v>
      </c>
      <c r="B96" s="122">
        <v>8076.1</v>
      </c>
      <c r="C96" s="122">
        <f t="shared" si="11"/>
        <v>793.30369856737786</v>
      </c>
      <c r="D96" s="118">
        <v>6406.8</v>
      </c>
      <c r="E96" s="123">
        <v>6406.8</v>
      </c>
      <c r="F96" s="123">
        <v>14.239406828757616</v>
      </c>
      <c r="G96" s="124">
        <f ca="1">IF(OFFSET('Mnth to Qtr'!B$25,$J96,0)=0,"",AVERAGE(OFFSET('Mnth to Qtr'!B$25,$J96,0):OFFSET('Mnth to Qtr'!B$23,$J96,0)))</f>
        <v>132.75842862983268</v>
      </c>
      <c r="H96" s="124">
        <f ca="1">IF(OFFSET('Mnth to Qtr'!C$25,$J96,0)="","",AVERAGE(OFFSET('Mnth to Qtr'!C$25,$J96,0):OFFSET('Mnth to Qtr'!C$23,$J96,0)))</f>
        <v>149.30333333333331</v>
      </c>
      <c r="I96" s="124">
        <f ca="1">IF(OFFSET('Mnth to Qtr'!D$25,$J96,0)="","",AVERAGE(OFFSET('Mnth to Qtr'!D$25,$J96,0):OFFSET('Mnth to Qtr'!D$23,$J96,0)))</f>
        <v>170.49</v>
      </c>
      <c r="J96" s="73">
        <f t="shared" si="9"/>
        <v>243</v>
      </c>
      <c r="K96" s="163"/>
      <c r="L96" s="140">
        <f t="shared" si="5"/>
        <v>8076.1</v>
      </c>
      <c r="M96" s="141">
        <f t="shared" si="12"/>
        <v>793.30369856737786</v>
      </c>
      <c r="N96" s="151">
        <v>132</v>
      </c>
      <c r="O96" s="151">
        <v>133</v>
      </c>
      <c r="P96" s="41">
        <f t="shared" si="10"/>
        <v>132.5</v>
      </c>
      <c r="Q96" s="152" t="s">
        <v>114</v>
      </c>
      <c r="R96" s="152" t="s">
        <v>166</v>
      </c>
    </row>
    <row r="97" spans="1:20">
      <c r="A97" s="58">
        <v>42979</v>
      </c>
      <c r="B97" s="122">
        <v>8254.4</v>
      </c>
      <c r="C97" s="122">
        <f t="shared" si="11"/>
        <v>816.00116301608853</v>
      </c>
      <c r="D97" s="118">
        <v>6735.6</v>
      </c>
      <c r="E97" s="123">
        <v>6735.6</v>
      </c>
      <c r="F97" s="123">
        <v>14.422532448280601</v>
      </c>
      <c r="G97" s="124">
        <f ca="1">IF(OFFSET('Mnth to Qtr'!B$25,$J97,0)=0,"",AVERAGE(OFFSET('Mnth to Qtr'!B$25,$J97,0):OFFSET('Mnth to Qtr'!B$23,$J97,0)))</f>
        <v>112.46611470073663</v>
      </c>
      <c r="H97" s="124">
        <f ca="1">IF(OFFSET('Mnth to Qtr'!C$25,$J97,0)="","",AVERAGE(OFFSET('Mnth to Qtr'!C$25,$J97,0):OFFSET('Mnth to Qtr'!C$23,$J97,0)))</f>
        <v>153.36333333333334</v>
      </c>
      <c r="I97" s="124">
        <f ca="1">IF(OFFSET('Mnth to Qtr'!D$25,$J97,0)="","",AVERAGE(OFFSET('Mnth to Qtr'!D$25,$J97,0):OFFSET('Mnth to Qtr'!D$23,$J97,0)))</f>
        <v>165.47</v>
      </c>
      <c r="J97" s="73">
        <f t="shared" si="9"/>
        <v>246</v>
      </c>
      <c r="K97" s="163"/>
      <c r="L97" s="140">
        <f t="shared" si="5"/>
        <v>8254.4</v>
      </c>
      <c r="M97" s="141">
        <f t="shared" si="12"/>
        <v>816.00116301608853</v>
      </c>
      <c r="N97" s="151">
        <v>112</v>
      </c>
      <c r="O97" s="151">
        <v>113</v>
      </c>
      <c r="P97" s="41">
        <f t="shared" si="10"/>
        <v>112.5</v>
      </c>
      <c r="Q97" s="152" t="s">
        <v>117</v>
      </c>
      <c r="R97" s="152" t="s">
        <v>167</v>
      </c>
    </row>
    <row r="98" spans="1:20">
      <c r="A98" s="126">
        <v>43070</v>
      </c>
      <c r="B98" s="122">
        <v>8144.5</v>
      </c>
      <c r="C98" s="122">
        <f t="shared" si="11"/>
        <v>827.79790042359878</v>
      </c>
      <c r="D98" s="118">
        <v>6742</v>
      </c>
      <c r="E98" s="123">
        <v>6742</v>
      </c>
      <c r="F98" s="123">
        <v>14.313079603985354</v>
      </c>
      <c r="G98" s="124">
        <f ca="1">IF(OFFSET('Mnth to Qtr'!B$25,$J98,0)=0,"",AVERAGE(OFFSET('Mnth to Qtr'!B$25,$J98,0):OFFSET('Mnth to Qtr'!B$23,$J98,0)))</f>
        <v>117.87930047569203</v>
      </c>
      <c r="H98" s="124">
        <f ca="1">IF(OFFSET('Mnth to Qtr'!C$25,$J98,0)="","",AVERAGE(OFFSET('Mnth to Qtr'!C$25,$J98,0):OFFSET('Mnth to Qtr'!C$23,$J98,0)))</f>
        <v>157.12666666666667</v>
      </c>
      <c r="I98" s="124">
        <f ca="1">IF(OFFSET('Mnth to Qtr'!D$25,$J98,0)="","",AVERAGE(OFFSET('Mnth to Qtr'!D$25,$J98,0):OFFSET('Mnth to Qtr'!D$23,$J98,0)))</f>
        <v>170.66</v>
      </c>
      <c r="J98" s="73">
        <f t="shared" si="9"/>
        <v>249</v>
      </c>
      <c r="K98" s="163"/>
      <c r="L98" s="140">
        <f t="shared" si="5"/>
        <v>8144.5</v>
      </c>
      <c r="M98" s="141">
        <f t="shared" si="12"/>
        <v>827.79790042359878</v>
      </c>
      <c r="N98" s="151">
        <v>117</v>
      </c>
      <c r="O98" s="151">
        <v>118</v>
      </c>
      <c r="P98" s="41">
        <f t="shared" si="10"/>
        <v>117.5</v>
      </c>
      <c r="Q98" s="152" t="s">
        <v>165</v>
      </c>
      <c r="R98" s="152" t="s">
        <v>127</v>
      </c>
    </row>
    <row r="99" spans="1:20">
      <c r="A99" s="126">
        <v>43160</v>
      </c>
      <c r="B99" s="122">
        <v>7877.6</v>
      </c>
      <c r="C99" s="122">
        <f t="shared" si="11"/>
        <v>820.85914491723361</v>
      </c>
      <c r="D99" s="118">
        <v>6466.4</v>
      </c>
      <c r="E99" s="123">
        <v>6466.4</v>
      </c>
      <c r="F99" s="123">
        <v>13.973227396624388</v>
      </c>
      <c r="G99" s="124">
        <f ca="1">IF(OFFSET('Mnth to Qtr'!B$25,$J99,0)=0,"",AVERAGE(OFFSET('Mnth to Qtr'!B$25,$J99,0):OFFSET('Mnth to Qtr'!B$23,$J99,0)))</f>
        <v>125.60333333333334</v>
      </c>
      <c r="H99" s="124">
        <f ca="1">IF(OFFSET('Mnth to Qtr'!C$25,$J99,0)="","",AVERAGE(OFFSET('Mnth to Qtr'!C$25,$J99,0):OFFSET('Mnth to Qtr'!C$23,$J99,0)))</f>
        <v>148.73333333333332</v>
      </c>
      <c r="I99" s="124">
        <f ca="1">IF(OFFSET('Mnth to Qtr'!D$25,$J99,0)="","",AVERAGE(OFFSET('Mnth to Qtr'!D$25,$J99,0):OFFSET('Mnth to Qtr'!D$23,$J99,0)))</f>
        <v>180.01333333333332</v>
      </c>
      <c r="J99" s="73">
        <f t="shared" si="9"/>
        <v>252</v>
      </c>
      <c r="K99" s="163"/>
      <c r="L99" s="140">
        <f t="shared" si="5"/>
        <v>7877.6</v>
      </c>
      <c r="M99" s="141">
        <f t="shared" si="12"/>
        <v>820.85914491723361</v>
      </c>
      <c r="N99" s="151">
        <v>125</v>
      </c>
      <c r="O99" s="151">
        <v>126</v>
      </c>
      <c r="P99" s="41">
        <f t="shared" ref="P99:P106" si="13">IF(N99="","",(N99+O99)/2)</f>
        <v>125.5</v>
      </c>
      <c r="Q99" s="152" t="s">
        <v>114</v>
      </c>
      <c r="R99" s="152" t="s">
        <v>168</v>
      </c>
    </row>
    <row r="100" spans="1:20">
      <c r="A100" s="126">
        <v>43252</v>
      </c>
      <c r="B100" s="122">
        <v>8425.7000000000007</v>
      </c>
      <c r="C100" s="122">
        <f t="shared" si="11"/>
        <v>798.22447986517443</v>
      </c>
      <c r="D100" s="118">
        <v>6725.6</v>
      </c>
      <c r="E100" s="123">
        <v>6725.6</v>
      </c>
      <c r="F100" s="123">
        <v>14.485438798424457</v>
      </c>
      <c r="G100" s="124">
        <f ca="1">IF(OFFSET('Mnth to Qtr'!B$25,$J100,0)=0,"",AVERAGE(OFFSET('Mnth to Qtr'!B$25,$J100,0):OFFSET('Mnth to Qtr'!B$23,$J100,0)))</f>
        <v>116.71999999999998</v>
      </c>
      <c r="H100" s="124">
        <f ca="1">IF(OFFSET('Mnth to Qtr'!C$25,$J100,0)="","",AVERAGE(OFFSET('Mnth to Qtr'!C$25,$J100,0):OFFSET('Mnth to Qtr'!C$23,$J100,0)))</f>
        <v>144.52333333333334</v>
      </c>
      <c r="I100" s="124">
        <f ca="1">IF(OFFSET('Mnth to Qtr'!D$25,$J100,0)="","",AVERAGE(OFFSET('Mnth to Qtr'!D$25,$J100,0):OFFSET('Mnth to Qtr'!D$23,$J100,0)))</f>
        <v>170.11333333333334</v>
      </c>
      <c r="J100" s="73">
        <f t="shared" si="9"/>
        <v>255</v>
      </c>
      <c r="K100" s="163"/>
      <c r="L100" s="140">
        <f t="shared" si="5"/>
        <v>8425.7000000000007</v>
      </c>
      <c r="M100" s="141">
        <f t="shared" si="12"/>
        <v>798.22447986517443</v>
      </c>
      <c r="N100" s="151">
        <v>117</v>
      </c>
      <c r="O100" s="151">
        <v>117</v>
      </c>
      <c r="P100" s="41">
        <f t="shared" si="13"/>
        <v>117</v>
      </c>
      <c r="Q100" s="152" t="s">
        <v>169</v>
      </c>
      <c r="R100" s="152" t="s">
        <v>127</v>
      </c>
    </row>
    <row r="101" spans="1:20">
      <c r="A101" s="58">
        <v>43344</v>
      </c>
      <c r="B101" s="122">
        <v>8360.9000000000015</v>
      </c>
      <c r="C101" s="122">
        <f t="shared" si="11"/>
        <v>815.54617325885943</v>
      </c>
      <c r="D101" s="118">
        <v>6818.7</v>
      </c>
      <c r="E101" s="123">
        <v>6818.7</v>
      </c>
      <c r="F101" s="123">
        <v>14.399185638126175</v>
      </c>
      <c r="G101" s="124">
        <f ca="1">IF(OFFSET('Mnth to Qtr'!B$25,$J101,0)=0,"",AVERAGE(OFFSET('Mnth to Qtr'!B$25,$J101,0):OFFSET('Mnth to Qtr'!B$23,$J101,0)))</f>
        <v>110.82666666666667</v>
      </c>
      <c r="H101" s="124">
        <f ca="1">IF(OFFSET('Mnth to Qtr'!C$25,$J101,0)="","",AVERAGE(OFFSET('Mnth to Qtr'!C$25,$J101,0):OFFSET('Mnth to Qtr'!C$23,$J101,0)))</f>
        <v>155.99333333333334</v>
      </c>
      <c r="I101" s="124">
        <f ca="1">IF(OFFSET('Mnth to Qtr'!D$25,$J101,0)="","",AVERAGE(OFFSET('Mnth to Qtr'!D$25,$J101,0):OFFSET('Mnth to Qtr'!D$23,$J101,0)))</f>
        <v>169.78</v>
      </c>
      <c r="J101" s="73">
        <f t="shared" si="9"/>
        <v>258</v>
      </c>
      <c r="K101" s="163"/>
      <c r="L101" s="140">
        <f t="shared" si="5"/>
        <v>8360.9000000000015</v>
      </c>
      <c r="M101" s="141">
        <f t="shared" si="12"/>
        <v>815.54617325885943</v>
      </c>
      <c r="N101" s="151">
        <v>110</v>
      </c>
      <c r="O101" s="151">
        <v>111</v>
      </c>
      <c r="P101" s="154">
        <f t="shared" si="13"/>
        <v>110.5</v>
      </c>
      <c r="Q101" s="152" t="s">
        <v>132</v>
      </c>
      <c r="R101" s="152" t="s">
        <v>170</v>
      </c>
    </row>
    <row r="102" spans="1:20">
      <c r="A102" s="126">
        <v>43435</v>
      </c>
      <c r="B102" s="122">
        <v>8340.5</v>
      </c>
      <c r="C102" s="122">
        <f t="shared" si="11"/>
        <v>822.69648102631731</v>
      </c>
      <c r="D102" s="118">
        <v>6861.7</v>
      </c>
      <c r="E102" s="123">
        <v>6861.7</v>
      </c>
      <c r="F102" s="123">
        <v>14.450475126262965</v>
      </c>
      <c r="G102" s="124">
        <f ca="1">IF(OFFSET('Mnth to Qtr'!B$25,$J102,0)=0,"",AVERAGE(OFFSET('Mnth to Qtr'!B$25,$J102,0):OFFSET('Mnth to Qtr'!B$23,$J102,0)))</f>
        <v>115.31666666666666</v>
      </c>
      <c r="H102" s="124">
        <f ca="1">IF(OFFSET('Mnth to Qtr'!C$25,$J102,0)="","",AVERAGE(OFFSET('Mnth to Qtr'!C$25,$J102,0):OFFSET('Mnth to Qtr'!C$23,$J102,0)))</f>
        <v>150.74666666666667</v>
      </c>
      <c r="I102" s="124">
        <f ca="1">IF(OFFSET('Mnth to Qtr'!D$25,$J102,0)="","",AVERAGE(OFFSET('Mnth to Qtr'!D$25,$J102,0):OFFSET('Mnth to Qtr'!D$23,$J102,0)))</f>
        <v>165.64666666666668</v>
      </c>
      <c r="J102" s="73">
        <f t="shared" si="9"/>
        <v>261</v>
      </c>
      <c r="K102" s="163"/>
      <c r="L102" s="140">
        <f t="shared" si="5"/>
        <v>8340.5</v>
      </c>
      <c r="M102" s="141">
        <f t="shared" si="12"/>
        <v>822.69648102631731</v>
      </c>
      <c r="N102" s="151">
        <v>114</v>
      </c>
      <c r="O102" s="151">
        <v>116</v>
      </c>
      <c r="P102" s="41">
        <f t="shared" si="13"/>
        <v>115</v>
      </c>
      <c r="Q102" s="152" t="s">
        <v>121</v>
      </c>
      <c r="R102" s="152" t="s">
        <v>167</v>
      </c>
    </row>
    <row r="103" spans="1:20">
      <c r="A103" s="126">
        <v>43525</v>
      </c>
      <c r="B103" s="122">
        <v>7934.5</v>
      </c>
      <c r="C103" s="122">
        <f t="shared" ref="C103:C120" si="14">IF(B103="",0,D103/B103*1000)</f>
        <v>808.34331085764688</v>
      </c>
      <c r="D103" s="118">
        <v>6413.7999999999993</v>
      </c>
      <c r="E103" s="123">
        <v>6413.7999999999993</v>
      </c>
      <c r="F103" s="123">
        <v>13.954535828704801</v>
      </c>
      <c r="G103" s="124">
        <f ca="1">IF(OFFSET('Mnth to Qtr'!B$25,$J103,0)=0,"",AVERAGE(OFFSET('Mnth to Qtr'!B$25,$J103,0):OFFSET('Mnth to Qtr'!B$23,$J103,0)))</f>
        <v>125.27</v>
      </c>
      <c r="H103" s="124">
        <f ca="1">IF(OFFSET('Mnth to Qtr'!C$25,$J103,0)="","",AVERAGE(OFFSET('Mnth to Qtr'!C$25,$J103,0):OFFSET('Mnth to Qtr'!C$23,$J103,0)))</f>
        <v>142.87333333333333</v>
      </c>
      <c r="I103" s="124">
        <f ca="1">IF(OFFSET('Mnth to Qtr'!D$25,$J103,0)="","",AVERAGE(OFFSET('Mnth to Qtr'!D$25,$J103,0):OFFSET('Mnth to Qtr'!D$23,$J103,0)))</f>
        <v>171.40666666666667</v>
      </c>
      <c r="J103" s="73">
        <f t="shared" si="9"/>
        <v>264</v>
      </c>
      <c r="K103" s="163"/>
      <c r="L103" s="140">
        <f t="shared" ref="L103:L114" si="15">B103</f>
        <v>7934.5</v>
      </c>
      <c r="M103" s="141">
        <f t="shared" ref="M103:M113" si="16">+E103/L103*1000</f>
        <v>808.34331085764688</v>
      </c>
      <c r="N103" s="151">
        <v>125</v>
      </c>
      <c r="O103" s="151">
        <v>126</v>
      </c>
      <c r="P103" s="41">
        <f t="shared" si="13"/>
        <v>125.5</v>
      </c>
      <c r="Q103" s="152" t="s">
        <v>126</v>
      </c>
      <c r="R103" s="152" t="s">
        <v>133</v>
      </c>
    </row>
    <row r="104" spans="1:20">
      <c r="A104" s="126">
        <v>43617</v>
      </c>
      <c r="B104" s="122">
        <v>8576.2999999999993</v>
      </c>
      <c r="C104" s="122">
        <f t="shared" si="14"/>
        <v>794.84159835826642</v>
      </c>
      <c r="D104" s="118">
        <v>6816.7999999999993</v>
      </c>
      <c r="E104" s="123">
        <v>6816.7999999999993</v>
      </c>
      <c r="F104" s="123">
        <v>14.791943149437314</v>
      </c>
      <c r="G104" s="124">
        <f ca="1">IF(OFFSET('Mnth to Qtr'!B$25,$J104,0)=0,"",AVERAGE(OFFSET('Mnth to Qtr'!B$25,$J104,0):OFFSET('Mnth to Qtr'!B$23,$J104,0)))</f>
        <v>118.79333333333334</v>
      </c>
      <c r="H104" s="124">
        <f ca="1">IF(OFFSET('Mnth to Qtr'!C$25,$J104,0)="","",AVERAGE(OFFSET('Mnth to Qtr'!C$25,$J104,0):OFFSET('Mnth to Qtr'!C$23,$J104,0)))</f>
        <v>143.23333333333335</v>
      </c>
      <c r="I104" s="124">
        <f ca="1">IF(OFFSET('Mnth to Qtr'!D$25,$J104,0)="","",AVERAGE(OFFSET('Mnth to Qtr'!D$25,$J104,0):OFFSET('Mnth to Qtr'!D$23,$J104,0)))</f>
        <v>167.22</v>
      </c>
      <c r="J104" s="73">
        <f t="shared" si="9"/>
        <v>267</v>
      </c>
      <c r="K104" s="163"/>
      <c r="L104" s="140">
        <f t="shared" si="15"/>
        <v>8576.2999999999993</v>
      </c>
      <c r="M104" s="141">
        <f t="shared" si="16"/>
        <v>794.84159835826642</v>
      </c>
      <c r="N104" s="151">
        <v>118</v>
      </c>
      <c r="O104" s="151">
        <v>119</v>
      </c>
      <c r="P104" s="41">
        <f t="shared" si="13"/>
        <v>118.5</v>
      </c>
      <c r="Q104" s="152" t="s">
        <v>116</v>
      </c>
      <c r="R104" s="152" t="s">
        <v>172</v>
      </c>
    </row>
    <row r="105" spans="1:20">
      <c r="A105" s="58">
        <v>43709</v>
      </c>
      <c r="B105" s="122">
        <v>8541.6</v>
      </c>
      <c r="C105" s="122">
        <f t="shared" si="14"/>
        <v>810.46876463426065</v>
      </c>
      <c r="D105" s="118">
        <v>6922.7000000000007</v>
      </c>
      <c r="E105" s="123">
        <v>6922.7000000000007</v>
      </c>
      <c r="F105" s="123">
        <v>14.541328855347848</v>
      </c>
      <c r="G105" s="124">
        <f ca="1">IF(OFFSET('Mnth to Qtr'!B$25,$J105,0)=0,"",AVERAGE(OFFSET('Mnth to Qtr'!B$25,$J105,0):OFFSET('Mnth to Qtr'!B$23,$J105,0)))</f>
        <v>108.16333333333334</v>
      </c>
      <c r="H105" s="124">
        <f ca="1">IF(OFFSET('Mnth to Qtr'!C$25,$J105,0)="","",AVERAGE(OFFSET('Mnth to Qtr'!C$25,$J105,0):OFFSET('Mnth to Qtr'!C$23,$J105,0)))</f>
        <v>144.39666666666668</v>
      </c>
      <c r="I105" s="124">
        <f ca="1">IF(OFFSET('Mnth to Qtr'!D$25,$J105,0)="","",AVERAGE(OFFSET('Mnth to Qtr'!D$25,$J105,0):OFFSET('Mnth to Qtr'!D$23,$J105,0)))</f>
        <v>156.80666666666667</v>
      </c>
      <c r="J105" s="73">
        <f t="shared" si="9"/>
        <v>270</v>
      </c>
      <c r="K105" s="163"/>
      <c r="L105" s="140">
        <f t="shared" si="15"/>
        <v>8541.6</v>
      </c>
      <c r="M105" s="141">
        <f t="shared" si="16"/>
        <v>810.46876463426065</v>
      </c>
      <c r="N105" s="151">
        <v>107</v>
      </c>
      <c r="O105" s="151">
        <v>109</v>
      </c>
      <c r="P105" s="154">
        <f t="shared" si="13"/>
        <v>108</v>
      </c>
      <c r="Q105" s="152" t="s">
        <v>173</v>
      </c>
      <c r="R105" s="152" t="s">
        <v>174</v>
      </c>
    </row>
    <row r="106" spans="1:20">
      <c r="A106" s="126">
        <v>43800</v>
      </c>
      <c r="B106" s="122">
        <v>8502.9</v>
      </c>
      <c r="C106" s="122">
        <f t="shared" si="14"/>
        <v>823.40142774818014</v>
      </c>
      <c r="D106" s="118">
        <v>7001.3000000000011</v>
      </c>
      <c r="E106" s="123">
        <v>7001.3000000000011</v>
      </c>
      <c r="F106" s="123">
        <v>14.830653326610262</v>
      </c>
      <c r="G106" s="124">
        <f ca="1">IF(OFFSET('Mnth to Qtr'!B$25,$J106,0)=0,"",AVERAGE(OFFSET('Mnth to Qtr'!B$25,$J106,0):OFFSET('Mnth to Qtr'!B$23,$J106,0)))</f>
        <v>114.88</v>
      </c>
      <c r="H106" s="124">
        <f ca="1">IF(OFFSET('Mnth to Qtr'!C$25,$J106,0)="","",AVERAGE(OFFSET('Mnth to Qtr'!C$25,$J106,0):OFFSET('Mnth to Qtr'!C$23,$J106,0)))</f>
        <v>148.17666666666665</v>
      </c>
      <c r="I106" s="124">
        <f ca="1">IF(OFFSET('Mnth to Qtr'!D$25,$J106,0)="","",AVERAGE(OFFSET('Mnth to Qtr'!D$25,$J106,0):OFFSET('Mnth to Qtr'!D$23,$J106,0)))</f>
        <v>158.1766666666667</v>
      </c>
      <c r="J106" s="73">
        <f t="shared" si="9"/>
        <v>273</v>
      </c>
      <c r="K106" s="163"/>
      <c r="L106" s="140">
        <f t="shared" si="15"/>
        <v>8502.9</v>
      </c>
      <c r="M106" s="141">
        <f t="shared" si="16"/>
        <v>823.40142774818014</v>
      </c>
      <c r="N106" s="151">
        <v>115</v>
      </c>
      <c r="O106" s="151">
        <v>116</v>
      </c>
      <c r="P106" s="154">
        <f t="shared" si="13"/>
        <v>115.5</v>
      </c>
      <c r="Q106" s="152" t="s">
        <v>114</v>
      </c>
      <c r="R106" s="152" t="s">
        <v>174</v>
      </c>
    </row>
    <row r="107" spans="1:20">
      <c r="A107" s="126">
        <v>43891</v>
      </c>
      <c r="B107" s="122">
        <v>8401.9000000000015</v>
      </c>
      <c r="C107" s="122">
        <f t="shared" si="14"/>
        <v>824.92055368428566</v>
      </c>
      <c r="D107" s="118">
        <v>6930.9000000000005</v>
      </c>
      <c r="E107" s="123">
        <v>6930.9000000000005</v>
      </c>
      <c r="F107" s="123">
        <v>14.729420128608041</v>
      </c>
      <c r="G107" s="124">
        <f ca="1">IF(OFFSET('Mnth to Qtr'!B$25,$J107,0)=0,"",AVERAGE(OFFSET('Mnth to Qtr'!B$25,$J107,0):OFFSET('Mnth to Qtr'!B$23,$J107,0)))</f>
        <v>118.32000000000001</v>
      </c>
      <c r="H107" s="124">
        <f ca="1">IF(OFFSET('Mnth to Qtr'!C$25,$J107,0)="","",AVERAGE(OFFSET('Mnth to Qtr'!C$25,$J107,0):OFFSET('Mnth to Qtr'!C$23,$J107,0)))</f>
        <v>138.90333333333334</v>
      </c>
      <c r="I107" s="124">
        <f ca="1">IF(OFFSET('Mnth to Qtr'!D$25,$J107,0)="","",AVERAGE(OFFSET('Mnth to Qtr'!D$25,$J107,0):OFFSET('Mnth to Qtr'!D$23,$J107,0)))</f>
        <v>166.38333333333333</v>
      </c>
      <c r="J107" s="73">
        <f t="shared" si="9"/>
        <v>276</v>
      </c>
      <c r="K107" s="163"/>
      <c r="L107" s="140">
        <f t="shared" si="15"/>
        <v>8401.9000000000015</v>
      </c>
      <c r="M107" s="43">
        <f t="shared" si="16"/>
        <v>824.92055368428566</v>
      </c>
      <c r="N107" s="150">
        <v>116</v>
      </c>
      <c r="O107" s="150">
        <v>118</v>
      </c>
      <c r="P107" s="41">
        <f t="shared" ref="P107:P130" si="17">IF(N107="","",(N107+O107)/2)</f>
        <v>117</v>
      </c>
      <c r="Q107" s="149" t="s">
        <v>177</v>
      </c>
      <c r="R107" s="149" t="s">
        <v>176</v>
      </c>
      <c r="S107" s="34"/>
      <c r="T107" s="34"/>
    </row>
    <row r="108" spans="1:20">
      <c r="A108" s="126">
        <v>43983</v>
      </c>
      <c r="B108" s="122">
        <v>7398.7999999999993</v>
      </c>
      <c r="C108" s="122">
        <f t="shared" si="14"/>
        <v>818.86251824620206</v>
      </c>
      <c r="D108" s="118">
        <v>6058.5999999999995</v>
      </c>
      <c r="E108" s="123">
        <v>6058.5999999999995</v>
      </c>
      <c r="F108" s="123">
        <v>13.577171496553202</v>
      </c>
      <c r="G108" s="124">
        <f ca="1">IF(OFFSET('Mnth to Qtr'!B$25,$J108,0)=0,"",AVERAGE(OFFSET('Mnth to Qtr'!B$25,$J108,0):OFFSET('Mnth to Qtr'!B$23,$J108,0)))</f>
        <v>105.79</v>
      </c>
      <c r="H108" s="124">
        <f ca="1">IF(OFFSET('Mnth to Qtr'!C$25,$J108,0)="","",AVERAGE(OFFSET('Mnth to Qtr'!C$25,$J108,0):OFFSET('Mnth to Qtr'!C$23,$J108,0)))</f>
        <v>129.45333333333335</v>
      </c>
      <c r="I108" s="124">
        <f ca="1">IF(OFFSET('Mnth to Qtr'!D$25,$J108,0)="","",AVERAGE(OFFSET('Mnth to Qtr'!D$25,$J108,0):OFFSET('Mnth to Qtr'!D$23,$J108,0)))</f>
        <v>152.54999999999998</v>
      </c>
      <c r="J108" s="73">
        <f t="shared" si="9"/>
        <v>279</v>
      </c>
      <c r="K108" s="163"/>
      <c r="L108" s="140">
        <f t="shared" si="15"/>
        <v>7398.7999999999993</v>
      </c>
      <c r="M108" s="141">
        <f t="shared" si="16"/>
        <v>818.86251824620206</v>
      </c>
      <c r="N108" s="151">
        <v>105</v>
      </c>
      <c r="O108" s="151">
        <v>106</v>
      </c>
      <c r="P108" s="154">
        <f t="shared" si="17"/>
        <v>105.5</v>
      </c>
      <c r="Q108" s="152" t="s">
        <v>163</v>
      </c>
      <c r="R108" s="152" t="s">
        <v>178</v>
      </c>
      <c r="S108" s="34"/>
      <c r="T108" s="34"/>
    </row>
    <row r="109" spans="1:20">
      <c r="A109" s="58">
        <v>44075</v>
      </c>
      <c r="B109" s="122">
        <v>8541.7000000000007</v>
      </c>
      <c r="C109" s="122">
        <f t="shared" si="14"/>
        <v>833.00748094641563</v>
      </c>
      <c r="D109" s="118">
        <v>7115.2999999999993</v>
      </c>
      <c r="E109" s="123">
        <v>7115.2999999999993</v>
      </c>
      <c r="F109" s="123">
        <v>15.54308580816428</v>
      </c>
      <c r="G109" s="124">
        <f ca="1">IF(OFFSET('Mnth to Qtr'!B$25,$J109,0)=0,"",AVERAGE(OFFSET('Mnth to Qtr'!B$25,$J109,0):OFFSET('Mnth to Qtr'!B$23,$J109,0)))</f>
        <v>101.74333333333334</v>
      </c>
      <c r="H109" s="124">
        <f ca="1">IF(OFFSET('Mnth to Qtr'!C$25,$J109,0)="","",AVERAGE(OFFSET('Mnth to Qtr'!C$25,$J109,0):OFFSET('Mnth to Qtr'!C$23,$J109,0)))</f>
        <v>141.97333333333333</v>
      </c>
      <c r="I109" s="124">
        <f ca="1">IF(OFFSET('Mnth to Qtr'!D$25,$J109,0)="","",AVERAGE(OFFSET('Mnth to Qtr'!D$25,$J109,0):OFFSET('Mnth to Qtr'!D$23,$J109,0)))</f>
        <v>157.01</v>
      </c>
      <c r="J109" s="73">
        <f t="shared" si="9"/>
        <v>282</v>
      </c>
      <c r="K109" s="163"/>
      <c r="L109" s="140">
        <f t="shared" si="15"/>
        <v>8541.7000000000007</v>
      </c>
      <c r="M109" s="141">
        <f t="shared" si="16"/>
        <v>833.00748094641563</v>
      </c>
      <c r="N109" s="151">
        <v>104</v>
      </c>
      <c r="O109" s="151">
        <v>105</v>
      </c>
      <c r="P109" s="154">
        <f t="shared" si="17"/>
        <v>104.5</v>
      </c>
      <c r="Q109" s="152" t="s">
        <v>126</v>
      </c>
      <c r="R109" s="152" t="s">
        <v>132</v>
      </c>
      <c r="S109" s="34"/>
      <c r="T109" s="34"/>
    </row>
    <row r="110" spans="1:20">
      <c r="A110" s="126">
        <v>44166</v>
      </c>
      <c r="B110" s="122">
        <v>8443.2999999999993</v>
      </c>
      <c r="C110" s="122">
        <f t="shared" si="14"/>
        <v>837.2200442954769</v>
      </c>
      <c r="D110" s="118">
        <v>7068.9</v>
      </c>
      <c r="E110" s="123">
        <v>7068.9</v>
      </c>
      <c r="F110" s="123">
        <v>14.51574406577531</v>
      </c>
      <c r="G110" s="124">
        <f ca="1">IF(OFFSET('Mnth to Qtr'!B$25,$J110,0)=0,"",AVERAGE(OFFSET('Mnth to Qtr'!B$25,$J110,0):OFFSET('Mnth to Qtr'!B$23,$J110,0)))</f>
        <v>108.18333333333334</v>
      </c>
      <c r="H110" s="124">
        <f ca="1">IF(OFFSET('Mnth to Qtr'!C$25,$J110,0)="","",AVERAGE(OFFSET('Mnth to Qtr'!C$25,$J110,0):OFFSET('Mnth to Qtr'!C$23,$J110,0)))</f>
        <v>138.04666666666665</v>
      </c>
      <c r="I110" s="124">
        <f ca="1">IF(OFFSET('Mnth to Qtr'!D$25,$J110,0)="","",AVERAGE(OFFSET('Mnth to Qtr'!D$25,$J110,0):OFFSET('Mnth to Qtr'!D$23,$J110,0)))</f>
        <v>155</v>
      </c>
      <c r="J110" s="73">
        <f t="shared" si="9"/>
        <v>285</v>
      </c>
      <c r="K110" s="163"/>
      <c r="L110" s="140">
        <f t="shared" si="15"/>
        <v>8443.2999999999993</v>
      </c>
      <c r="M110" s="161">
        <f>+E110/L110*1000</f>
        <v>837.2200442954769</v>
      </c>
      <c r="N110" s="151">
        <v>108</v>
      </c>
      <c r="O110" s="151">
        <v>109</v>
      </c>
      <c r="P110" s="154">
        <v>108.18</v>
      </c>
      <c r="Q110" s="152" t="s">
        <v>162</v>
      </c>
      <c r="R110" s="152" t="s">
        <v>174</v>
      </c>
    </row>
    <row r="111" spans="1:20">
      <c r="A111" s="126">
        <v>44256</v>
      </c>
      <c r="B111" s="122">
        <v>8279.5</v>
      </c>
      <c r="C111" s="122">
        <f t="shared" si="14"/>
        <v>833.34741846390182</v>
      </c>
      <c r="D111" s="118">
        <v>6899.699951171875</v>
      </c>
      <c r="E111" s="123">
        <v>6899.699951171875</v>
      </c>
      <c r="F111" s="123">
        <v>14.572936933879392</v>
      </c>
      <c r="G111" s="124">
        <f ca="1">IF(OFFSET('Mnth to Qtr'!B$25,$J111,0)=0,"",AVERAGE(OFFSET('Mnth to Qtr'!B$25,$J111,0):OFFSET('Mnth to Qtr'!B$23,$J111,0)))</f>
        <v>112.98333333333335</v>
      </c>
      <c r="H111" s="124">
        <f ca="1">IF(OFFSET('Mnth to Qtr'!C$25,$J111,0)="","",AVERAGE(OFFSET('Mnth to Qtr'!C$25,$J111,0):OFFSET('Mnth to Qtr'!C$23,$J111,0)))</f>
        <v>136.65333333333334</v>
      </c>
      <c r="I111" s="124">
        <f ca="1">IF(OFFSET('Mnth to Qtr'!D$25,$J111,0)="","",AVERAGE(OFFSET('Mnth to Qtr'!D$25,$J111,0):OFFSET('Mnth to Qtr'!D$23,$J111,0)))</f>
        <v>164.82666666666668</v>
      </c>
      <c r="J111" s="73">
        <f t="shared" si="9"/>
        <v>288</v>
      </c>
      <c r="K111" s="163"/>
      <c r="L111" s="140">
        <f t="shared" si="15"/>
        <v>8279.5</v>
      </c>
      <c r="M111" s="141">
        <f t="shared" si="16"/>
        <v>833.34741846390182</v>
      </c>
      <c r="N111" s="151">
        <v>112</v>
      </c>
      <c r="O111" s="151">
        <v>113</v>
      </c>
      <c r="P111" s="41">
        <v>112.98</v>
      </c>
      <c r="Q111" s="152" t="s">
        <v>115</v>
      </c>
      <c r="R111" s="152" t="s">
        <v>180</v>
      </c>
      <c r="S111" s="34"/>
      <c r="T111" s="34"/>
    </row>
    <row r="112" spans="1:20">
      <c r="A112" s="58">
        <v>44348</v>
      </c>
      <c r="B112" s="122">
        <v>8510.2998046875</v>
      </c>
      <c r="C112" s="122">
        <f t="shared" si="14"/>
        <v>818.208536829281</v>
      </c>
      <c r="D112" s="118">
        <v>6963.199951171875</v>
      </c>
      <c r="E112" s="123">
        <v>6963.199951171875</v>
      </c>
      <c r="F112" s="123">
        <v>14.886918128306206</v>
      </c>
      <c r="G112" s="124">
        <f ca="1">IF(OFFSET('Mnth to Qtr'!B$25,$J112,0)=0,"",AVERAGE(OFFSET('Mnth to Qtr'!B$25,$J112,0):OFFSET('Mnth to Qtr'!B$23,$J112,0)))</f>
        <v>120.75666666666666</v>
      </c>
      <c r="H112" s="124">
        <f ca="1">IF(OFFSET('Mnth to Qtr'!C$25,$J112,0)="","",AVERAGE(OFFSET('Mnth to Qtr'!C$25,$J112,0):OFFSET('Mnth to Qtr'!C$23,$J112,0)))</f>
        <v>141.58333333333334</v>
      </c>
      <c r="I112" s="124">
        <f ca="1">IF(OFFSET('Mnth to Qtr'!D$25,$J112,0)="","",AVERAGE(OFFSET('Mnth to Qtr'!D$25,$J112,0):OFFSET('Mnth to Qtr'!D$23,$J112,0)))</f>
        <v>165.07</v>
      </c>
      <c r="J112" s="73">
        <f t="shared" si="9"/>
        <v>291</v>
      </c>
      <c r="K112" s="163"/>
      <c r="L112" s="140">
        <f t="shared" si="15"/>
        <v>8510.2998046875</v>
      </c>
      <c r="M112" s="141">
        <f t="shared" si="16"/>
        <v>818.208536829281</v>
      </c>
      <c r="N112" s="160">
        <v>120</v>
      </c>
      <c r="O112" s="160">
        <v>121</v>
      </c>
      <c r="P112" s="41">
        <f t="shared" si="17"/>
        <v>120.5</v>
      </c>
      <c r="Q112" s="152" t="s">
        <v>126</v>
      </c>
      <c r="R112" s="152" t="s">
        <v>167</v>
      </c>
      <c r="S112" s="34"/>
      <c r="T112" s="34"/>
    </row>
    <row r="113" spans="1:22">
      <c r="A113" s="126">
        <v>44440</v>
      </c>
      <c r="B113" s="122">
        <v>8526.699951171875</v>
      </c>
      <c r="C113" s="122">
        <f t="shared" si="14"/>
        <v>818.51129220904591</v>
      </c>
      <c r="D113" s="118">
        <v>6979.2001953125</v>
      </c>
      <c r="E113" s="123">
        <v>6979.2001953125</v>
      </c>
      <c r="F113" s="123">
        <v>14.606886736617826</v>
      </c>
      <c r="G113" s="124">
        <f ca="1">IF(OFFSET('Mnth to Qtr'!B$25,$J113,0)=0,"",AVERAGE(OFFSET('Mnth to Qtr'!B$25,$J113,0):OFFSET('Mnth to Qtr'!B$23,$J113,0)))</f>
        <v>123.51</v>
      </c>
      <c r="H113" s="124">
        <f ca="1">IF(OFFSET('Mnth to Qtr'!C$25,$J113,0)="","",AVERAGE(OFFSET('Mnth to Qtr'!C$25,$J113,0):OFFSET('Mnth to Qtr'!C$23,$J113,0)))</f>
        <v>156.41999999999999</v>
      </c>
      <c r="I113" s="124">
        <f ca="1">IF(OFFSET('Mnth to Qtr'!D$25,$J113,0)="","",AVERAGE(OFFSET('Mnth to Qtr'!D$25,$J113,0):OFFSET('Mnth to Qtr'!D$23,$J113,0)))</f>
        <v>171.93333333333331</v>
      </c>
      <c r="J113" s="73">
        <f t="shared" si="9"/>
        <v>294</v>
      </c>
      <c r="K113" s="163"/>
      <c r="L113" s="140">
        <f t="shared" si="15"/>
        <v>8526.699951171875</v>
      </c>
      <c r="M113" s="141">
        <f t="shared" si="16"/>
        <v>818.51129220904591</v>
      </c>
      <c r="N113" s="160">
        <v>123</v>
      </c>
      <c r="O113" s="160">
        <v>124</v>
      </c>
      <c r="P113" s="41">
        <f t="shared" si="17"/>
        <v>123.5</v>
      </c>
      <c r="Q113" s="152" t="s">
        <v>132</v>
      </c>
      <c r="R113" s="152" t="s">
        <v>181</v>
      </c>
    </row>
    <row r="114" spans="1:22">
      <c r="A114" s="126">
        <v>44531</v>
      </c>
      <c r="B114" s="122">
        <v>8533.900146484375</v>
      </c>
      <c r="C114" s="122">
        <f t="shared" si="14"/>
        <v>832.69079502689965</v>
      </c>
      <c r="D114" s="118">
        <v>7106.10009765625</v>
      </c>
      <c r="E114" s="123">
        <v>7106.10009765625</v>
      </c>
      <c r="F114" s="123">
        <v>14.797771014013563</v>
      </c>
      <c r="G114" s="124">
        <f ca="1">IF(OFFSET('Mnth to Qtr'!B$25,$J114,0)=0,"",AVERAGE(OFFSET('Mnth to Qtr'!B$25,$J114,0):OFFSET('Mnth to Qtr'!B$23,$J114,0)))</f>
        <v>132.35999999999999</v>
      </c>
      <c r="H114" s="124">
        <f ca="1">IF(OFFSET('Mnth to Qtr'!C$25,$J114,0)="","",AVERAGE(OFFSET('Mnth to Qtr'!C$25,$J114,0):OFFSET('Mnth to Qtr'!C$23,$J114,0)))</f>
        <v>158.62333333333333</v>
      </c>
      <c r="I114" s="124">
        <f ca="1">IF(OFFSET('Mnth to Qtr'!D$25,$J114,0)="","",AVERAGE(OFFSET('Mnth to Qtr'!D$25,$J114,0):OFFSET('Mnth to Qtr'!D$23,$J114,0)))</f>
        <v>172.17333333333332</v>
      </c>
      <c r="J114" s="73">
        <f t="shared" si="9"/>
        <v>297</v>
      </c>
      <c r="K114" s="163"/>
      <c r="L114" s="140">
        <f t="shared" si="15"/>
        <v>8533.900146484375</v>
      </c>
      <c r="M114" s="141">
        <f t="shared" ref="M114:M130" si="18">+E114/L114*1000</f>
        <v>832.69079502689965</v>
      </c>
      <c r="N114" s="160">
        <v>131</v>
      </c>
      <c r="O114" s="160">
        <v>132</v>
      </c>
      <c r="P114" s="41">
        <f t="shared" si="17"/>
        <v>131.5</v>
      </c>
      <c r="Q114" s="152" t="s">
        <v>182</v>
      </c>
      <c r="R114" s="152" t="s">
        <v>133</v>
      </c>
      <c r="U114">
        <f>5.35-4.35</f>
        <v>1</v>
      </c>
    </row>
    <row r="115" spans="1:22">
      <c r="A115" s="58">
        <v>44621</v>
      </c>
      <c r="B115" s="122">
        <v>8406.000244140625</v>
      </c>
      <c r="C115" s="122">
        <f t="shared" si="14"/>
        <v>835.51030224904741</v>
      </c>
      <c r="D115" s="118">
        <v>7023.2998046875</v>
      </c>
      <c r="E115" s="123">
        <v>7023.2998046875</v>
      </c>
      <c r="F115" s="123">
        <v>15.007281781584997</v>
      </c>
      <c r="G115" s="124">
        <f ca="1">IF(OFFSET('Mnth to Qtr'!B$25,$J115,0)=0,"",AVERAGE(OFFSET('Mnth to Qtr'!B$25,$J115,0):OFFSET('Mnth to Qtr'!B$23,$J115,0)))</f>
        <v>139.25333333333333</v>
      </c>
      <c r="H115" s="124">
        <f ca="1">IF(OFFSET('Mnth to Qtr'!C$25,$J115,0)="","",AVERAGE(OFFSET('Mnth to Qtr'!C$25,$J115,0):OFFSET('Mnth to Qtr'!C$23,$J115,0)))</f>
        <v>160.00333333333333</v>
      </c>
      <c r="I115" s="124">
        <f ca="1">IF(OFFSET('Mnth to Qtr'!D$25,$J115,0)="","",AVERAGE(OFFSET('Mnth to Qtr'!D$25,$J115,0):OFFSET('Mnth to Qtr'!D$23,$J115,0)))</f>
        <v>193.65666666666664</v>
      </c>
      <c r="J115" s="73">
        <f t="shared" si="9"/>
        <v>300</v>
      </c>
      <c r="K115" s="163"/>
      <c r="L115" s="140">
        <f>B115</f>
        <v>8406.000244140625</v>
      </c>
      <c r="M115" s="141">
        <f>+E115/L115*1000</f>
        <v>835.51030224904741</v>
      </c>
      <c r="N115" s="160">
        <v>138</v>
      </c>
      <c r="O115" s="160">
        <v>140</v>
      </c>
      <c r="P115" s="154">
        <v>139.25333333333333</v>
      </c>
      <c r="Q115" s="152" t="s">
        <v>130</v>
      </c>
      <c r="R115" s="152" t="s">
        <v>140</v>
      </c>
    </row>
    <row r="116" spans="1:22">
      <c r="A116" s="126">
        <v>44713</v>
      </c>
      <c r="B116" s="122">
        <v>8673.300048828125</v>
      </c>
      <c r="C116" s="122">
        <f t="shared" si="14"/>
        <v>815.32978378524899</v>
      </c>
      <c r="D116" s="118">
        <v>7071.599853515625</v>
      </c>
      <c r="E116" s="123">
        <v>7071.599853515625</v>
      </c>
      <c r="F116" s="123">
        <v>14.683286396748986</v>
      </c>
      <c r="G116" s="124">
        <f ca="1">IF(OFFSET('Mnth to Qtr'!B$25,$J116,0)=0,"",AVERAGE(OFFSET('Mnth to Qtr'!B$25,$J116,0):OFFSET('Mnth to Qtr'!B$23,$J116,0)))</f>
        <v>141.92666666666665</v>
      </c>
      <c r="H116" s="124">
        <f ca="1">IF(OFFSET('Mnth to Qtr'!C$25,$J116,0)="","",AVERAGE(OFFSET('Mnth to Qtr'!C$25,$J116,0):OFFSET('Mnth to Qtr'!C$23,$J116,0)))</f>
        <v>160.49333333333334</v>
      </c>
      <c r="I116" s="124">
        <f ca="1">IF(OFFSET('Mnth to Qtr'!D$25,$J116,0)="","",AVERAGE(OFFSET('Mnth to Qtr'!D$25,$J116,0):OFFSET('Mnth to Qtr'!D$23,$J116,0)))</f>
        <v>188.42999999999998</v>
      </c>
      <c r="J116" s="73">
        <f t="shared" si="9"/>
        <v>303</v>
      </c>
      <c r="K116" s="163"/>
      <c r="L116" s="140">
        <f>B116</f>
        <v>8673.300048828125</v>
      </c>
      <c r="M116" s="141">
        <f>+E116/L116*1000</f>
        <v>815.32978378524899</v>
      </c>
      <c r="N116" s="160">
        <v>141</v>
      </c>
      <c r="O116" s="160">
        <v>142</v>
      </c>
      <c r="P116" s="154">
        <v>141.92666666666665</v>
      </c>
      <c r="Q116" s="152" t="s">
        <v>125</v>
      </c>
      <c r="R116" s="152" t="s">
        <v>183</v>
      </c>
    </row>
    <row r="117" spans="1:22">
      <c r="A117" s="126">
        <v>44805</v>
      </c>
      <c r="B117" s="122">
        <v>8753.500244140625</v>
      </c>
      <c r="C117" s="122">
        <f t="shared" si="14"/>
        <v>816.11926055138042</v>
      </c>
      <c r="D117" s="118">
        <v>7143.900146484375</v>
      </c>
      <c r="E117" s="123">
        <v>7143.900146484375</v>
      </c>
      <c r="F117" s="123">
        <v>14.676330345545244</v>
      </c>
      <c r="G117" s="124">
        <f ca="1">IF(OFFSET('Mnth to Qtr'!B$25,$J117,0)=0,"",AVERAGE(OFFSET('Mnth to Qtr'!B$25,$J117,0):OFFSET('Mnth to Qtr'!B$23,$J117,0)))</f>
        <v>143.42333333333332</v>
      </c>
      <c r="H117" s="124">
        <f ca="1">IF(OFFSET('Mnth to Qtr'!C$25,$J117,0)="","",AVERAGE(OFFSET('Mnth to Qtr'!C$25,$J117,0):OFFSET('Mnth to Qtr'!C$23,$J117,0)))</f>
        <v>177.56666666666669</v>
      </c>
      <c r="I117" s="124">
        <f ca="1">IF(OFFSET('Mnth to Qtr'!D$25,$J117,0)="","",AVERAGE(OFFSET('Mnth to Qtr'!D$25,$J117,0):OFFSET('Mnth to Qtr'!D$23,$J117,0)))</f>
        <v>191.97333333333333</v>
      </c>
      <c r="J117" s="73">
        <f t="shared" si="9"/>
        <v>306</v>
      </c>
      <c r="K117" s="163"/>
      <c r="L117" s="140">
        <f>B117</f>
        <v>8753.500244140625</v>
      </c>
      <c r="M117" s="141">
        <f>+E117/L117*1000</f>
        <v>816.11926055138042</v>
      </c>
      <c r="N117" s="160">
        <v>143</v>
      </c>
      <c r="O117" s="160">
        <v>144</v>
      </c>
      <c r="P117" s="154">
        <f t="shared" si="17"/>
        <v>143.5</v>
      </c>
      <c r="Q117" s="152" t="s">
        <v>185</v>
      </c>
      <c r="R117" s="152" t="s">
        <v>184</v>
      </c>
    </row>
    <row r="118" spans="1:22">
      <c r="A118" s="58">
        <v>44896</v>
      </c>
      <c r="B118" s="122">
        <v>8492.599853515625</v>
      </c>
      <c r="C118" s="122">
        <f t="shared" si="14"/>
        <v>830.35822576347414</v>
      </c>
      <c r="D118" s="118">
        <v>7051.900146484375</v>
      </c>
      <c r="E118" s="123">
        <v>7051.900146484375</v>
      </c>
      <c r="F118" s="123">
        <v>14.506115279035724</v>
      </c>
      <c r="G118" s="124">
        <f ca="1">IF(OFFSET('Mnth to Qtr'!B$25,$J118,0)=0,"",AVERAGE(OFFSET('Mnth to Qtr'!B$25,$J118,0):OFFSET('Mnth to Qtr'!B$23,$J118,0)))</f>
        <v>152.99333333333334</v>
      </c>
      <c r="H118" s="124">
        <f ca="1">IF(OFFSET('Mnth to Qtr'!C$25,$J118,0)="","",AVERAGE(OFFSET('Mnth to Qtr'!C$25,$J118,0):OFFSET('Mnth to Qtr'!C$23,$J118,0)))</f>
        <v>177.49666666666667</v>
      </c>
      <c r="I118" s="124">
        <f ca="1">IF(OFFSET('Mnth to Qtr'!D$25,$J118,0)="","",AVERAGE(OFFSET('Mnth to Qtr'!D$25,$J118,0):OFFSET('Mnth to Qtr'!D$23,$J118,0)))</f>
        <v>191.54999999999998</v>
      </c>
      <c r="J118" s="73">
        <f t="shared" si="9"/>
        <v>309</v>
      </c>
      <c r="K118" s="163"/>
      <c r="L118" s="140">
        <v>8494.3267790740865</v>
      </c>
      <c r="M118" s="141">
        <f t="shared" si="18"/>
        <v>830.1894111086998</v>
      </c>
      <c r="N118" s="160">
        <v>150</v>
      </c>
      <c r="O118" s="160">
        <v>151</v>
      </c>
      <c r="P118" s="154">
        <f t="shared" si="17"/>
        <v>150.5</v>
      </c>
      <c r="Q118" s="152" t="s">
        <v>187</v>
      </c>
      <c r="R118" s="152" t="s">
        <v>186</v>
      </c>
    </row>
    <row r="119" spans="1:22">
      <c r="A119" s="126">
        <v>44986</v>
      </c>
      <c r="B119" s="122">
        <v>8317.099853515625</v>
      </c>
      <c r="C119" s="122">
        <f>IF(B119="",0,D119/B119*1000)</f>
        <v>820.46630035347277</v>
      </c>
      <c r="D119" s="118">
        <v>6823.900146484375</v>
      </c>
      <c r="E119" s="123">
        <v>6823.900146484375</v>
      </c>
      <c r="F119" s="123">
        <v>14.828562599447192</v>
      </c>
      <c r="G119" s="124">
        <f ca="1">IF(OFFSET('Mnth to Qtr'!B$25,$J119,0)=0,"",AVERAGE(OFFSET('Mnth to Qtr'!B$25,$J119,0):OFFSET('Mnth to Qtr'!B$23,$J119,0)))</f>
        <v>160.91666666666666</v>
      </c>
      <c r="H119" s="124">
        <f ca="1">IF(OFFSET('Mnth to Qtr'!C$25,$J119,0)="","",AVERAGE(OFFSET('Mnth to Qtr'!C$25,$J119,0):OFFSET('Mnth to Qtr'!C$23,$J119,0)))</f>
        <v>185.52333333333334</v>
      </c>
      <c r="I119" s="124">
        <f ca="1">IF(OFFSET('Mnth to Qtr'!D$25,$J119,0)="","",AVERAGE(OFFSET('Mnth to Qtr'!D$25,$J119,0):OFFSET('Mnth to Qtr'!D$23,$J119,0)))</f>
        <v>224.01333333333332</v>
      </c>
      <c r="J119" s="73">
        <f t="shared" si="9"/>
        <v>312</v>
      </c>
      <c r="K119" s="163"/>
      <c r="L119" s="140">
        <v>8314.0134636191215</v>
      </c>
      <c r="M119" s="141">
        <f t="shared" si="18"/>
        <v>820.77087995403679</v>
      </c>
      <c r="N119" s="160">
        <v>160</v>
      </c>
      <c r="O119" s="160">
        <v>161</v>
      </c>
      <c r="P119" s="154">
        <v>160.91666666666666</v>
      </c>
      <c r="Q119" s="152" t="s">
        <v>190</v>
      </c>
      <c r="R119" s="152" t="s">
        <v>189</v>
      </c>
      <c r="S119" s="171">
        <v>185.52333333333334</v>
      </c>
      <c r="T119" s="171">
        <v>224.01333333333332</v>
      </c>
    </row>
    <row r="120" spans="1:22">
      <c r="A120" s="126">
        <v>45078</v>
      </c>
      <c r="B120" s="122">
        <v>8281.099853515625</v>
      </c>
      <c r="C120" s="122">
        <f t="shared" si="14"/>
        <v>810.54450132276872</v>
      </c>
      <c r="D120" s="118">
        <v>6712.199951171875</v>
      </c>
      <c r="E120" s="123">
        <v>6712.199951171875</v>
      </c>
      <c r="F120" s="123">
        <v>14.350556353444279</v>
      </c>
      <c r="G120" s="124">
        <f ca="1">IF(OFFSET('Mnth to Qtr'!B$25,$J120,0)=0,"",AVERAGE(OFFSET('Mnth to Qtr'!B$25,$J120,0):OFFSET('Mnth to Qtr'!B$23,$J120,0)))</f>
        <v>179.01666666666665</v>
      </c>
      <c r="H120" s="124">
        <f ca="1">IF(OFFSET('Mnth to Qtr'!C$25,$J120,0)="","",AVERAGE(OFFSET('Mnth to Qtr'!C$25,$J120,0):OFFSET('Mnth to Qtr'!C$23,$J120,0)))</f>
        <v>214.15666666666667</v>
      </c>
      <c r="I120" s="124">
        <f ca="1">IF(OFFSET('Mnth to Qtr'!D$25,$J120,0)="","",AVERAGE(OFFSET('Mnth to Qtr'!D$25,$J120,0):OFFSET('Mnth to Qtr'!D$23,$J120,0)))</f>
        <v>254.86666666666665</v>
      </c>
      <c r="J120" s="73">
        <f t="shared" si="9"/>
        <v>315</v>
      </c>
      <c r="K120" s="163"/>
      <c r="L120" s="140">
        <v>8277.801594245153</v>
      </c>
      <c r="M120" s="141">
        <f t="shared" si="18"/>
        <v>810.86745976592306</v>
      </c>
      <c r="N120" s="160">
        <v>175</v>
      </c>
      <c r="O120" s="160">
        <v>177</v>
      </c>
      <c r="P120" s="154">
        <v>179.01666666666665</v>
      </c>
      <c r="Q120" s="152" t="s">
        <v>192</v>
      </c>
      <c r="R120" s="152" t="s">
        <v>191</v>
      </c>
      <c r="S120" s="171">
        <v>214.15666666666667</v>
      </c>
      <c r="T120" s="171">
        <v>254.86666666666665</v>
      </c>
    </row>
    <row r="121" spans="1:22">
      <c r="A121" s="58">
        <v>45170</v>
      </c>
      <c r="B121" s="122"/>
      <c r="C121" s="122"/>
      <c r="E121" s="123">
        <v>6621.5</v>
      </c>
      <c r="F121" s="123">
        <v>14.219260124268548</v>
      </c>
      <c r="G121" s="124">
        <f ca="1">IF(OFFSET('Mnth to Qtr'!B$25,$J121,0)=0,"",AVERAGE(OFFSET('Mnth to Qtr'!B$25,$J121,0):OFFSET('Mnth to Qtr'!B$23,$J121,0)))</f>
        <v>184.27</v>
      </c>
      <c r="H121" s="124">
        <f ca="1">IF(OFFSET('Mnth to Qtr'!C$25,$J121,0)="","",AVERAGE(OFFSET('Mnth to Qtr'!C$25,$J121,0):OFFSET('Mnth to Qtr'!C$23,$J121,0)))</f>
        <v>252.81333333333336</v>
      </c>
      <c r="I121" s="124">
        <f ca="1">IF(OFFSET('Mnth to Qtr'!D$25,$J121,0)="","",AVERAGE(OFFSET('Mnth to Qtr'!D$25,$J121,0):OFFSET('Mnth to Qtr'!D$23,$J121,0)))</f>
        <v>280.85999999999996</v>
      </c>
      <c r="J121" s="73">
        <f t="shared" si="9"/>
        <v>318</v>
      </c>
      <c r="K121" s="163"/>
      <c r="L121" s="140">
        <v>8098.4776660263324</v>
      </c>
      <c r="M121" s="141">
        <f t="shared" si="18"/>
        <v>817.62280184801216</v>
      </c>
      <c r="N121" s="160">
        <v>180</v>
      </c>
      <c r="O121" s="160">
        <v>181</v>
      </c>
      <c r="P121" s="154">
        <v>184.27</v>
      </c>
      <c r="Q121" s="152" t="s">
        <v>201</v>
      </c>
      <c r="R121" s="152" t="s">
        <v>202</v>
      </c>
      <c r="S121">
        <v>252.81333333333336</v>
      </c>
      <c r="T121" s="171">
        <v>280.85999999999996</v>
      </c>
      <c r="U121">
        <f>T121-2.5</f>
        <v>278.35999999999996</v>
      </c>
      <c r="V121">
        <f>T121+2.5</f>
        <v>283.35999999999996</v>
      </c>
    </row>
    <row r="122" spans="1:22">
      <c r="A122" s="126">
        <v>45261</v>
      </c>
      <c r="B122" s="122"/>
      <c r="C122" s="122"/>
      <c r="E122" s="123">
        <v>6809.500244140625</v>
      </c>
      <c r="F122" s="123">
        <v>14.361327193882811</v>
      </c>
      <c r="G122" s="124">
        <f ca="1">IF(OFFSET('Mnth to Qtr'!B$25,$J122,0)=0,"",AVERAGE(OFFSET('Mnth to Qtr'!B$25,$J122,0):OFFSET('Mnth to Qtr'!B$23,$J122,0)))</f>
        <v>177.93333333333331</v>
      </c>
      <c r="H122" s="124">
        <f ca="1">IF(OFFSET('Mnth to Qtr'!C$25,$J122,0)="","",AVERAGE(OFFSET('Mnth to Qtr'!C$25,$J122,0):OFFSET('Mnth to Qtr'!C$23,$J122,0)))</f>
        <v>235.02666666666664</v>
      </c>
      <c r="I122" s="124">
        <f ca="1">IF(OFFSET('Mnth to Qtr'!D$25,$J122,0)="","",AVERAGE(OFFSET('Mnth to Qtr'!D$25,$J122,0):OFFSET('Mnth to Qtr'!D$23,$J122,0)))</f>
        <v>278.11333333333329</v>
      </c>
      <c r="J122" s="73">
        <f t="shared" si="9"/>
        <v>321</v>
      </c>
      <c r="K122" s="163"/>
      <c r="L122" s="140">
        <v>8149.5078540183167</v>
      </c>
      <c r="M122" s="141">
        <f t="shared" si="18"/>
        <v>835.57195920524612</v>
      </c>
      <c r="N122" s="160">
        <v>180</v>
      </c>
      <c r="O122" s="160">
        <v>182</v>
      </c>
      <c r="P122" s="154">
        <f t="shared" si="17"/>
        <v>181</v>
      </c>
      <c r="Q122" s="152" t="s">
        <v>210</v>
      </c>
      <c r="R122" s="152" t="s">
        <v>203</v>
      </c>
      <c r="S122">
        <v>234.5</v>
      </c>
      <c r="T122">
        <v>275.5</v>
      </c>
      <c r="U122">
        <f>T122-5</f>
        <v>270.5</v>
      </c>
      <c r="V122">
        <f>T122+5</f>
        <v>280.5</v>
      </c>
    </row>
    <row r="123" spans="1:22">
      <c r="A123" s="126">
        <v>45352</v>
      </c>
      <c r="B123" s="122"/>
      <c r="C123" s="122"/>
      <c r="E123" s="123">
        <v>6559.800048828125</v>
      </c>
      <c r="F123" s="123">
        <v>14.726957629685696</v>
      </c>
      <c r="G123" s="124">
        <f ca="1">IF(OFFSET('Mnth to Qtr'!B$25,$J123,0)=0,"",AVERAGE(OFFSET('Mnth to Qtr'!B$25,$J123,0):OFFSET('Mnth to Qtr'!B$23,$J123,0)))</f>
        <v>181.0333333333333</v>
      </c>
      <c r="H123" s="124">
        <f ca="1">IF(OFFSET('Mnth to Qtr'!C$25,$J123,0)="","",AVERAGE(OFFSET('Mnth to Qtr'!C$25,$J123,0):OFFSET('Mnth to Qtr'!C$23,$J123,0)))</f>
        <v>247.32333333333335</v>
      </c>
      <c r="I123" s="124">
        <f ca="1">IF(OFFSET('Mnth to Qtr'!D$25,$J123,0)="","",AVERAGE(OFFSET('Mnth to Qtr'!D$25,$J123,0):OFFSET('Mnth to Qtr'!D$23,$J123,0)))</f>
        <v>311.48666666666668</v>
      </c>
      <c r="J123" s="73">
        <f t="shared" si="9"/>
        <v>324</v>
      </c>
      <c r="K123" s="163"/>
      <c r="L123" s="164">
        <v>7853.2998952375965</v>
      </c>
      <c r="M123" s="165">
        <f t="shared" si="18"/>
        <v>835.29218753076316</v>
      </c>
      <c r="N123" s="164">
        <v>180</v>
      </c>
      <c r="O123" s="164">
        <v>181</v>
      </c>
      <c r="P123" s="41">
        <f t="shared" si="17"/>
        <v>180.5</v>
      </c>
      <c r="Q123" s="166" t="s">
        <v>214</v>
      </c>
      <c r="R123" s="166" t="s">
        <v>222</v>
      </c>
      <c r="S123">
        <v>247.32333333333335</v>
      </c>
      <c r="T123">
        <v>311.48666666666668</v>
      </c>
      <c r="U123">
        <f>T123-2.5</f>
        <v>308.98666666666668</v>
      </c>
      <c r="V123">
        <f>T123+2.5</f>
        <v>313.98666666666668</v>
      </c>
    </row>
    <row r="124" spans="1:22">
      <c r="A124" s="58">
        <v>45444</v>
      </c>
      <c r="B124" s="122"/>
      <c r="C124" s="122"/>
      <c r="E124" s="123">
        <v>6557.1562496974293</v>
      </c>
      <c r="F124" s="123">
        <v>14.197259658975714</v>
      </c>
      <c r="G124" s="124" t="str">
        <f ca="1">IF(OFFSET('Mnth to Qtr'!B$25,$J124,0)=0,"",AVERAGE(OFFSET('Mnth to Qtr'!B$25,$J124,0):OFFSET('Mnth to Qtr'!B$23,$J124,0)))</f>
        <v/>
      </c>
      <c r="H124" s="124" t="str">
        <f ca="1">IF(OFFSET('Mnth to Qtr'!C$25,$J124,0)="","",AVERAGE(OFFSET('Mnth to Qtr'!C$25,$J124,0):OFFSET('Mnth to Qtr'!C$23,$J124,0)))</f>
        <v/>
      </c>
      <c r="I124" s="124" t="str">
        <f ca="1">IF(OFFSET('Mnth to Qtr'!D$25,$J124,0)="","",AVERAGE(OFFSET('Mnth to Qtr'!D$25,$J124,0):OFFSET('Mnth to Qtr'!D$23,$J124,0)))</f>
        <v/>
      </c>
      <c r="J124" s="73">
        <f t="shared" si="9"/>
        <v>327</v>
      </c>
      <c r="L124" s="164">
        <v>7841.4444338959784</v>
      </c>
      <c r="M124" s="165">
        <f t="shared" si="18"/>
        <v>836.21790665926358</v>
      </c>
      <c r="N124" s="164">
        <v>186</v>
      </c>
      <c r="O124" s="164">
        <v>188</v>
      </c>
      <c r="P124" s="41">
        <f t="shared" si="17"/>
        <v>187</v>
      </c>
      <c r="Q124" s="166" t="s">
        <v>212</v>
      </c>
      <c r="R124" s="166" t="s">
        <v>222</v>
      </c>
      <c r="S124">
        <v>257.5</v>
      </c>
      <c r="T124">
        <v>322</v>
      </c>
      <c r="U124">
        <f>T124-2.5</f>
        <v>319.5</v>
      </c>
      <c r="V124">
        <f>T124+2.5</f>
        <v>324.5</v>
      </c>
    </row>
    <row r="125" spans="1:22">
      <c r="A125" s="126">
        <v>45536</v>
      </c>
      <c r="B125" s="122"/>
      <c r="C125" s="122"/>
      <c r="E125" s="123">
        <v>6253.6237506684065</v>
      </c>
      <c r="F125" s="123">
        <v>13.876692855343297</v>
      </c>
      <c r="G125" s="124" t="str">
        <f ca="1">IF(OFFSET('Mnth to Qtr'!B$25,$J125,0)=0,"",AVERAGE(OFFSET('Mnth to Qtr'!B$25,$J125,0):OFFSET('Mnth to Qtr'!B$23,$J125,0)))</f>
        <v/>
      </c>
      <c r="H125" s="124" t="str">
        <f ca="1">IF(OFFSET('Mnth to Qtr'!C$25,$J125,0)="","",AVERAGE(OFFSET('Mnth to Qtr'!C$25,$J125,0):OFFSET('Mnth to Qtr'!C$23,$J125,0)))</f>
        <v/>
      </c>
      <c r="I125" s="124" t="str">
        <f ca="1">IF(OFFSET('Mnth to Qtr'!D$25,$J125,0)="","",AVERAGE(OFFSET('Mnth to Qtr'!D$25,$J125,0):OFFSET('Mnth to Qtr'!D$23,$J125,0)))</f>
        <v/>
      </c>
      <c r="J125" s="73">
        <f t="shared" si="9"/>
        <v>330</v>
      </c>
      <c r="L125" s="164">
        <v>7511.4656976083597</v>
      </c>
      <c r="M125" s="165">
        <f t="shared" si="18"/>
        <v>832.54374078544367</v>
      </c>
      <c r="N125" s="164">
        <v>190</v>
      </c>
      <c r="O125" s="164">
        <f>N125+5</f>
        <v>195</v>
      </c>
      <c r="P125" s="41">
        <f t="shared" si="17"/>
        <v>192.5</v>
      </c>
      <c r="Q125" s="166" t="s">
        <v>199</v>
      </c>
      <c r="R125" s="166" t="s">
        <v>216</v>
      </c>
      <c r="S125">
        <v>280</v>
      </c>
      <c r="T125">
        <v>322.5</v>
      </c>
      <c r="U125">
        <f>T125-5</f>
        <v>317.5</v>
      </c>
      <c r="V125">
        <f>T125+5</f>
        <v>327.5</v>
      </c>
    </row>
    <row r="126" spans="1:22">
      <c r="A126" s="126">
        <v>45627</v>
      </c>
      <c r="B126" s="122"/>
      <c r="C126" s="122"/>
      <c r="E126" s="123">
        <v>6378.7458747092587</v>
      </c>
      <c r="F126" s="123">
        <v>13.986929947650243</v>
      </c>
      <c r="G126" s="124" t="str">
        <f ca="1">IF(OFFSET('Mnth to Qtr'!B$25,$J126,0)=0,"",AVERAGE(OFFSET('Mnth to Qtr'!B$25,$J126,0):OFFSET('Mnth to Qtr'!B$23,$J126,0)))</f>
        <v/>
      </c>
      <c r="H126" s="124" t="str">
        <f ca="1">IF(OFFSET('Mnth to Qtr'!C$25,$J126,0)="","",AVERAGE(OFFSET('Mnth to Qtr'!C$25,$J126,0):OFFSET('Mnth to Qtr'!C$23,$J126,0)))</f>
        <v/>
      </c>
      <c r="I126" s="124" t="str">
        <f ca="1">IF(OFFSET('Mnth to Qtr'!D$25,$J126,0)="","",AVERAGE(OFFSET('Mnth to Qtr'!D$25,$J126,0):OFFSET('Mnth to Qtr'!D$23,$J126,0)))</f>
        <v/>
      </c>
      <c r="J126" s="73">
        <f t="shared" si="9"/>
        <v>333</v>
      </c>
      <c r="K126" s="163"/>
      <c r="L126" s="164">
        <v>7480.0617001038354</v>
      </c>
      <c r="M126" s="165">
        <f t="shared" si="18"/>
        <v>852.76647846644244</v>
      </c>
      <c r="N126" s="164">
        <v>205</v>
      </c>
      <c r="O126" s="164">
        <f>N126+5</f>
        <v>210</v>
      </c>
      <c r="P126" s="41">
        <f t="shared" si="17"/>
        <v>207.5</v>
      </c>
      <c r="Q126" s="166" t="s">
        <v>200</v>
      </c>
      <c r="R126" s="166" t="s">
        <v>217</v>
      </c>
      <c r="S126">
        <v>285</v>
      </c>
      <c r="T126" s="172">
        <v>327.5</v>
      </c>
      <c r="U126">
        <f>T126-5</f>
        <v>322.5</v>
      </c>
      <c r="V126">
        <f>T126+5</f>
        <v>332.5</v>
      </c>
    </row>
    <row r="127" spans="1:22">
      <c r="A127" s="58">
        <v>45717</v>
      </c>
      <c r="B127" s="122"/>
      <c r="C127" s="122"/>
      <c r="E127" s="123">
        <v>6185.2464256940812</v>
      </c>
      <c r="F127" s="123">
        <v>13.918958819851605</v>
      </c>
      <c r="G127" s="124" t="str">
        <f ca="1">IF(OFFSET('Mnth to Qtr'!B$25,$J127,0)=0,"",AVERAGE(OFFSET('Mnth to Qtr'!B$25,$J127,0):OFFSET('Mnth to Qtr'!B$23,$J127,0)))</f>
        <v/>
      </c>
      <c r="H127" s="124" t="str">
        <f ca="1">IF(OFFSET('Mnth to Qtr'!C$25,$J127,0)="","",AVERAGE(OFFSET('Mnth to Qtr'!C$25,$J127,0):OFFSET('Mnth to Qtr'!C$23,$J127,0)))</f>
        <v/>
      </c>
      <c r="I127" s="124" t="str">
        <f ca="1">IF(OFFSET('Mnth to Qtr'!D$25,$J127,0)="","",AVERAGE(OFFSET('Mnth to Qtr'!D$25,$J127,0):OFFSET('Mnth to Qtr'!D$23,$J127,0)))</f>
        <v/>
      </c>
      <c r="J127" s="73">
        <f t="shared" si="9"/>
        <v>336</v>
      </c>
      <c r="K127" s="163"/>
      <c r="L127" s="168">
        <v>7332.5639044283007</v>
      </c>
      <c r="M127" s="169">
        <f t="shared" si="18"/>
        <v>843.53119949744598</v>
      </c>
      <c r="N127" s="168">
        <v>190</v>
      </c>
      <c r="O127" s="168">
        <v>205</v>
      </c>
      <c r="P127" s="41">
        <f t="shared" si="17"/>
        <v>197.5</v>
      </c>
      <c r="Q127" s="170" t="s">
        <v>195</v>
      </c>
      <c r="R127" s="170" t="s">
        <v>218</v>
      </c>
      <c r="S127">
        <f>265+7.5</f>
        <v>272.5</v>
      </c>
      <c r="T127">
        <v>325</v>
      </c>
    </row>
    <row r="128" spans="1:22">
      <c r="A128" s="126">
        <v>45809</v>
      </c>
      <c r="B128" s="122"/>
      <c r="C128" s="122"/>
      <c r="E128" s="123">
        <v>6208.1796175952968</v>
      </c>
      <c r="F128" s="123">
        <v>13.569164958467749</v>
      </c>
      <c r="G128" s="124" t="str">
        <f ca="1">IF(OFFSET('Mnth to Qtr'!B$25,$J128,0)=0,"",AVERAGE(OFFSET('Mnth to Qtr'!B$25,$J128,0):OFFSET('Mnth to Qtr'!B$23,$J128,0)))</f>
        <v/>
      </c>
      <c r="H128" s="124" t="str">
        <f ca="1">IF(OFFSET('Mnth to Qtr'!C$25,$J128,0)="","",AVERAGE(OFFSET('Mnth to Qtr'!C$25,$J128,0):OFFSET('Mnth to Qtr'!C$23,$J128,0)))</f>
        <v/>
      </c>
      <c r="I128" s="124" t="str">
        <f ca="1">IF(OFFSET('Mnth to Qtr'!D$25,$J128,0)="","",AVERAGE(OFFSET('Mnth to Qtr'!D$25,$J128,0):OFFSET('Mnth to Qtr'!D$23,$J128,0)))</f>
        <v/>
      </c>
      <c r="J128" s="73">
        <f t="shared" si="9"/>
        <v>339</v>
      </c>
      <c r="L128" s="168">
        <v>7356.505736932083</v>
      </c>
      <c r="M128" s="169">
        <f t="shared" si="18"/>
        <v>843.90332035332881</v>
      </c>
      <c r="N128" s="168">
        <v>200</v>
      </c>
      <c r="O128" s="168">
        <v>215</v>
      </c>
      <c r="P128" s="41">
        <f t="shared" si="17"/>
        <v>207.5</v>
      </c>
      <c r="Q128" s="170" t="s">
        <v>196</v>
      </c>
      <c r="R128" s="170" t="s">
        <v>219</v>
      </c>
      <c r="S128">
        <f>280+7.5</f>
        <v>287.5</v>
      </c>
      <c r="T128">
        <v>315</v>
      </c>
    </row>
    <row r="129" spans="1:20">
      <c r="A129" s="126">
        <v>45901</v>
      </c>
      <c r="B129" s="122"/>
      <c r="C129" s="122"/>
      <c r="E129" s="123">
        <v>6044.1035179616292</v>
      </c>
      <c r="F129" s="123">
        <v>13.521418872807802</v>
      </c>
      <c r="G129" s="124" t="str">
        <f ca="1">IF(OFFSET('Mnth to Qtr'!B$25,$J129,0)=0,"",AVERAGE(OFFSET('Mnth to Qtr'!B$25,$J129,0):OFFSET('Mnth to Qtr'!B$23,$J129,0)))</f>
        <v/>
      </c>
      <c r="H129" s="124" t="str">
        <f ca="1">IF(OFFSET('Mnth to Qtr'!C$25,$J129,0)="","",AVERAGE(OFFSET('Mnth to Qtr'!C$25,$J129,0):OFFSET('Mnth to Qtr'!C$23,$J129,0)))</f>
        <v/>
      </c>
      <c r="I129" s="124" t="str">
        <f ca="1">IF(OFFSET('Mnth to Qtr'!D$25,$J129,0)="","",AVERAGE(OFFSET('Mnth to Qtr'!D$25,$J129,0):OFFSET('Mnth to Qtr'!D$23,$J129,0)))</f>
        <v/>
      </c>
      <c r="J129" s="73">
        <f t="shared" si="9"/>
        <v>342</v>
      </c>
      <c r="L129" s="168">
        <v>7187.8201322116802</v>
      </c>
      <c r="M129" s="169">
        <f t="shared" si="18"/>
        <v>840.88129735960285</v>
      </c>
      <c r="N129" s="168">
        <v>195</v>
      </c>
      <c r="O129" s="168">
        <v>210</v>
      </c>
      <c r="P129" s="41">
        <f t="shared" si="17"/>
        <v>202.5</v>
      </c>
      <c r="Q129" s="170" t="s">
        <v>194</v>
      </c>
      <c r="R129" s="170" t="s">
        <v>197</v>
      </c>
      <c r="S129">
        <f>285+7.5</f>
        <v>292.5</v>
      </c>
      <c r="T129">
        <f>315+7.5</f>
        <v>322.5</v>
      </c>
    </row>
    <row r="130" spans="1:20">
      <c r="A130" s="58">
        <v>45992</v>
      </c>
      <c r="B130" s="122"/>
      <c r="C130" s="122"/>
      <c r="E130" s="123">
        <v>6127.2608498293121</v>
      </c>
      <c r="F130" s="123">
        <v>13.56158008467929</v>
      </c>
      <c r="G130" s="124" t="str">
        <f ca="1">IF(OFFSET('Mnth to Qtr'!B$25,$J130,0)=0,"",AVERAGE(OFFSET('Mnth to Qtr'!B$25,$J130,0):OFFSET('Mnth to Qtr'!B$23,$J130,0)))</f>
        <v/>
      </c>
      <c r="H130" s="124" t="str">
        <f ca="1">IF(OFFSET('Mnth to Qtr'!C$25,$J130,0)="","",AVERAGE(OFFSET('Mnth to Qtr'!C$25,$J130,0):OFFSET('Mnth to Qtr'!C$23,$J130,0)))</f>
        <v/>
      </c>
      <c r="I130" s="124" t="str">
        <f ca="1">IF(OFFSET('Mnth to Qtr'!D$25,$J130,0)="","",AVERAGE(OFFSET('Mnth to Qtr'!D$25,$J130,0):OFFSET('Mnth to Qtr'!D$23,$J130,0)))</f>
        <v/>
      </c>
      <c r="J130" s="73">
        <f t="shared" si="9"/>
        <v>345</v>
      </c>
      <c r="L130" s="168">
        <v>7115.4123619306829</v>
      </c>
      <c r="M130" s="169">
        <f t="shared" si="18"/>
        <v>861.12519389765237</v>
      </c>
      <c r="N130" s="168">
        <v>225</v>
      </c>
      <c r="O130" s="168">
        <v>240</v>
      </c>
      <c r="P130" s="41">
        <f t="shared" si="17"/>
        <v>232.5</v>
      </c>
      <c r="Q130" s="170" t="s">
        <v>193</v>
      </c>
      <c r="R130" s="170" t="s">
        <v>198</v>
      </c>
      <c r="S130">
        <f>275+7.5</f>
        <v>282.5</v>
      </c>
      <c r="T130">
        <f>325+7.5</f>
        <v>332.5</v>
      </c>
    </row>
    <row r="131" spans="1:20">
      <c r="A131" s="58">
        <v>45993</v>
      </c>
      <c r="B131" s="122"/>
      <c r="C131" s="122"/>
      <c r="E131" s="123"/>
      <c r="F131" s="123">
        <v>0</v>
      </c>
      <c r="G131" s="124" t="str">
        <f ca="1">IF(OFFSET('Mnth to Qtr'!B$25,$J131,0)=0,"",AVERAGE(OFFSET('Mnth to Qtr'!B$25,$J131,0):OFFSET('Mnth to Qtr'!B$23,$J131,0)))</f>
        <v/>
      </c>
      <c r="H131" s="124" t="str">
        <f ca="1">IF(OFFSET('Mnth to Qtr'!C$25,$J131,0)="","",AVERAGE(OFFSET('Mnth to Qtr'!C$25,$J131,0):OFFSET('Mnth to Qtr'!C$23,$J131,0)))</f>
        <v/>
      </c>
      <c r="I131" s="124" t="str">
        <f ca="1">IF(OFFSET('Mnth to Qtr'!D$25,$J131,0)="","",AVERAGE(OFFSET('Mnth to Qtr'!D$25,$J131,0):OFFSET('Mnth to Qtr'!D$23,$J131,0)))</f>
        <v/>
      </c>
      <c r="J131" s="73">
        <f t="shared" si="9"/>
        <v>348</v>
      </c>
      <c r="N131" s="30"/>
      <c r="O131" s="30"/>
      <c r="P131" s="30"/>
      <c r="Q131" s="46"/>
      <c r="R131" s="46"/>
    </row>
    <row r="132" spans="1:20">
      <c r="A132" s="126"/>
      <c r="N132" s="30"/>
      <c r="O132" s="30"/>
      <c r="P132" s="30"/>
      <c r="Q132" s="46"/>
      <c r="R132" s="46"/>
    </row>
    <row r="133" spans="1:20">
      <c r="A133" s="126"/>
      <c r="N133" s="30"/>
      <c r="O133" s="30"/>
      <c r="P133" s="30"/>
      <c r="Q133" s="46"/>
      <c r="R133" s="46"/>
    </row>
    <row r="134" spans="1:20">
      <c r="A134" s="126"/>
      <c r="N134" s="30"/>
      <c r="O134" s="30"/>
      <c r="P134" s="30"/>
      <c r="Q134" s="46"/>
      <c r="R134" s="46"/>
    </row>
    <row r="135" spans="1:20">
      <c r="N135" s="30"/>
      <c r="O135" s="30"/>
      <c r="P135" s="30"/>
      <c r="Q135" s="46"/>
      <c r="R135" s="46"/>
    </row>
    <row r="136" spans="1:20">
      <c r="N136" s="30"/>
      <c r="O136" s="30"/>
      <c r="P136" s="30"/>
      <c r="Q136" s="46"/>
      <c r="R136" s="46"/>
    </row>
    <row r="137" spans="1:20">
      <c r="N137" s="30"/>
      <c r="O137" s="30"/>
      <c r="P137" s="30"/>
      <c r="Q137" s="46"/>
      <c r="R137" s="46"/>
    </row>
    <row r="138" spans="1:20">
      <c r="N138" s="30"/>
      <c r="O138" s="30"/>
      <c r="P138" s="30"/>
      <c r="Q138" s="46"/>
      <c r="R138" s="46"/>
    </row>
    <row r="139" spans="1:20">
      <c r="N139" s="30"/>
      <c r="O139" s="30"/>
      <c r="P139" s="30"/>
      <c r="Q139" s="46"/>
      <c r="R139" s="46"/>
    </row>
    <row r="140" spans="1:20">
      <c r="N140" s="30"/>
      <c r="O140" s="30"/>
      <c r="P140" s="30"/>
      <c r="Q140" s="46"/>
      <c r="R140" s="46"/>
    </row>
    <row r="141" spans="1:20">
      <c r="N141" s="30"/>
      <c r="O141" s="30"/>
      <c r="P141" s="30"/>
      <c r="Q141" s="46"/>
      <c r="R141" s="46"/>
    </row>
    <row r="142" spans="1:20">
      <c r="N142" s="30"/>
      <c r="O142" s="30"/>
      <c r="P142" s="30"/>
      <c r="Q142" s="46"/>
      <c r="R142" s="46"/>
    </row>
    <row r="143" spans="1:20">
      <c r="N143" s="30"/>
      <c r="O143" s="30"/>
      <c r="P143" s="30"/>
      <c r="Q143" s="46"/>
      <c r="R143" s="46"/>
    </row>
    <row r="144" spans="1:20">
      <c r="N144" s="30"/>
      <c r="O144" s="30"/>
      <c r="P144" s="30"/>
      <c r="Q144" s="46"/>
      <c r="R144" s="46"/>
    </row>
    <row r="145" spans="14:18">
      <c r="N145" s="30"/>
      <c r="O145" s="30"/>
      <c r="P145" s="30"/>
      <c r="Q145" s="46"/>
      <c r="R145" s="46"/>
    </row>
    <row r="146" spans="14:18">
      <c r="N146" s="30"/>
      <c r="O146" s="30"/>
      <c r="P146" s="30"/>
      <c r="Q146" s="46"/>
      <c r="R146" s="46"/>
    </row>
    <row r="147" spans="14:18">
      <c r="N147" s="30"/>
      <c r="O147" s="30"/>
      <c r="P147" s="30"/>
      <c r="Q147" s="46"/>
      <c r="R147" s="46"/>
    </row>
    <row r="148" spans="14:18">
      <c r="N148" s="30"/>
      <c r="O148" s="30"/>
      <c r="P148" s="30"/>
      <c r="Q148" s="46"/>
      <c r="R148" s="46"/>
    </row>
    <row r="149" spans="14:18">
      <c r="N149" s="30"/>
      <c r="O149" s="30"/>
      <c r="P149" s="30"/>
      <c r="Q149" s="46"/>
      <c r="R149" s="46"/>
    </row>
    <row r="150" spans="14:18">
      <c r="N150" s="30"/>
      <c r="O150" s="30"/>
      <c r="P150" s="30"/>
      <c r="Q150" s="46"/>
      <c r="R150" s="46"/>
    </row>
    <row r="151" spans="14:18">
      <c r="N151" s="30"/>
      <c r="O151" s="30"/>
      <c r="P151" s="30"/>
      <c r="Q151" s="46"/>
      <c r="R151" s="46"/>
    </row>
    <row r="152" spans="14:18">
      <c r="N152" s="30"/>
      <c r="O152" s="30"/>
      <c r="P152" s="30"/>
      <c r="Q152" s="46"/>
      <c r="R152" s="46"/>
    </row>
    <row r="153" spans="14:18">
      <c r="N153" s="30"/>
      <c r="O153" s="30"/>
      <c r="P153" s="30"/>
      <c r="Q153" s="46"/>
      <c r="R153" s="46"/>
    </row>
    <row r="154" spans="14:18">
      <c r="N154" s="30"/>
      <c r="O154" s="30"/>
      <c r="P154" s="30"/>
      <c r="Q154" s="46"/>
      <c r="R154" s="46"/>
    </row>
    <row r="155" spans="14:18">
      <c r="N155" s="30"/>
      <c r="O155" s="30"/>
      <c r="P155" s="30"/>
      <c r="Q155" s="46"/>
      <c r="R155" s="46"/>
    </row>
    <row r="156" spans="14:18">
      <c r="N156" s="30"/>
      <c r="O156" s="30"/>
      <c r="P156" s="30"/>
      <c r="Q156" s="46"/>
      <c r="R156" s="46"/>
    </row>
    <row r="157" spans="14:18">
      <c r="N157" s="30"/>
      <c r="O157" s="30"/>
      <c r="P157" s="30"/>
      <c r="Q157" s="46"/>
      <c r="R157" s="46"/>
    </row>
    <row r="158" spans="14:18">
      <c r="N158" s="30"/>
      <c r="O158" s="30"/>
      <c r="P158" s="30"/>
      <c r="Q158" s="46"/>
      <c r="R158" s="46"/>
    </row>
    <row r="159" spans="14:18">
      <c r="N159" s="30"/>
      <c r="O159" s="30"/>
      <c r="P159" s="30"/>
      <c r="Q159" s="46"/>
      <c r="R159" s="46"/>
    </row>
    <row r="160" spans="14:18">
      <c r="N160" s="30"/>
      <c r="O160" s="30"/>
      <c r="P160" s="30"/>
      <c r="Q160" s="46"/>
      <c r="R160" s="46"/>
    </row>
    <row r="161" spans="14:18">
      <c r="N161" s="30"/>
      <c r="O161" s="30"/>
      <c r="P161" s="30"/>
      <c r="Q161" s="46"/>
      <c r="R161" s="46"/>
    </row>
    <row r="162" spans="14:18">
      <c r="N162" s="30"/>
      <c r="O162" s="30"/>
      <c r="P162" s="30"/>
      <c r="Q162" s="46"/>
      <c r="R162" s="46"/>
    </row>
    <row r="163" spans="14:18">
      <c r="N163" s="30"/>
      <c r="O163" s="30"/>
      <c r="P163" s="30"/>
      <c r="Q163" s="46"/>
      <c r="R163" s="46"/>
    </row>
    <row r="164" spans="14:18">
      <c r="N164" s="30"/>
      <c r="O164" s="30"/>
      <c r="P164" s="30"/>
      <c r="Q164" s="46"/>
      <c r="R164" s="46"/>
    </row>
    <row r="165" spans="14:18">
      <c r="N165" s="30"/>
      <c r="O165" s="30"/>
      <c r="P165" s="30"/>
      <c r="Q165" s="46"/>
      <c r="R165" s="46"/>
    </row>
    <row r="166" spans="14:18">
      <c r="N166" s="30"/>
      <c r="O166" s="30"/>
      <c r="P166" s="30"/>
      <c r="Q166" s="46"/>
      <c r="R166" s="46"/>
    </row>
    <row r="167" spans="14:18">
      <c r="N167" s="30"/>
      <c r="O167" s="30"/>
      <c r="P167" s="30"/>
      <c r="Q167" s="46"/>
      <c r="R167" s="46"/>
    </row>
    <row r="168" spans="14:18">
      <c r="N168" s="30"/>
      <c r="O168" s="30"/>
      <c r="P168" s="30"/>
      <c r="Q168" s="46"/>
      <c r="R168" s="46"/>
    </row>
    <row r="169" spans="14:18">
      <c r="N169" s="30"/>
      <c r="O169" s="30"/>
      <c r="P169" s="30"/>
      <c r="Q169" s="46"/>
      <c r="R169" s="46"/>
    </row>
    <row r="170" spans="14:18">
      <c r="N170" s="30"/>
      <c r="O170" s="30"/>
      <c r="P170" s="30"/>
      <c r="Q170" s="46"/>
      <c r="R170" s="46"/>
    </row>
    <row r="171" spans="14:18">
      <c r="N171" s="30"/>
      <c r="O171" s="30"/>
      <c r="P171" s="30"/>
      <c r="Q171" s="46"/>
      <c r="R171" s="46"/>
    </row>
    <row r="172" spans="14:18">
      <c r="N172" s="30"/>
      <c r="O172" s="30"/>
      <c r="P172" s="30"/>
      <c r="Q172" s="46"/>
      <c r="R172" s="46"/>
    </row>
    <row r="173" spans="14:18">
      <c r="N173" s="30"/>
      <c r="O173" s="30"/>
      <c r="P173" s="30"/>
      <c r="Q173" s="46"/>
      <c r="R173" s="46"/>
    </row>
    <row r="174" spans="14:18">
      <c r="N174" s="30"/>
      <c r="O174" s="30"/>
      <c r="P174" s="30"/>
      <c r="Q174" s="46"/>
      <c r="R174" s="46"/>
    </row>
    <row r="175" spans="14:18">
      <c r="N175" s="30"/>
      <c r="O175" s="30"/>
      <c r="P175" s="30"/>
      <c r="Q175" s="46"/>
      <c r="R175" s="46"/>
    </row>
    <row r="176" spans="14:18">
      <c r="N176" s="30"/>
      <c r="O176" s="30"/>
      <c r="P176" s="30"/>
      <c r="Q176" s="46"/>
      <c r="R176" s="46"/>
    </row>
    <row r="177" spans="14:18">
      <c r="N177" s="30"/>
      <c r="O177" s="30"/>
      <c r="P177" s="30"/>
      <c r="Q177" s="46"/>
      <c r="R177" s="46"/>
    </row>
    <row r="178" spans="14:18">
      <c r="N178" s="30"/>
      <c r="O178" s="30"/>
      <c r="P178" s="30"/>
      <c r="Q178" s="46"/>
      <c r="R178" s="46"/>
    </row>
    <row r="179" spans="14:18">
      <c r="Q179" s="46"/>
      <c r="R179" s="46"/>
    </row>
    <row r="180" spans="14:18">
      <c r="Q180" s="46"/>
      <c r="R180" s="46"/>
    </row>
    <row r="181" spans="14:18">
      <c r="Q181" s="46"/>
      <c r="R181" s="46"/>
    </row>
    <row r="182" spans="14:18">
      <c r="Q182" s="46"/>
      <c r="R182" s="46"/>
    </row>
    <row r="183" spans="14:18">
      <c r="Q183" s="46"/>
      <c r="R183" s="46"/>
    </row>
    <row r="184" spans="14:18">
      <c r="Q184" s="46"/>
      <c r="R184" s="46"/>
    </row>
    <row r="185" spans="14:18">
      <c r="Q185" s="46"/>
      <c r="R185" s="46"/>
    </row>
    <row r="186" spans="14:18">
      <c r="Q186" s="46"/>
      <c r="R186" s="46"/>
    </row>
    <row r="187" spans="14:18">
      <c r="Q187" s="46"/>
      <c r="R187" s="46"/>
    </row>
    <row r="188" spans="14:18">
      <c r="Q188" s="46"/>
      <c r="R188" s="46"/>
    </row>
    <row r="189" spans="14:18">
      <c r="Q189" s="46"/>
      <c r="R189" s="46"/>
    </row>
    <row r="190" spans="14:18">
      <c r="Q190" s="46"/>
      <c r="R190" s="46"/>
    </row>
    <row r="191" spans="14:18">
      <c r="Q191" s="46"/>
      <c r="R191" s="46"/>
    </row>
    <row r="192" spans="14:18">
      <c r="Q192" s="46"/>
      <c r="R192" s="46"/>
    </row>
    <row r="193" spans="17:18">
      <c r="Q193" s="46"/>
      <c r="R193" s="46"/>
    </row>
    <row r="194" spans="17:18">
      <c r="Q194" s="46"/>
      <c r="R194" s="46"/>
    </row>
    <row r="195" spans="17:18">
      <c r="Q195" s="46"/>
      <c r="R195" s="46"/>
    </row>
    <row r="196" spans="17:18">
      <c r="Q196" s="46"/>
      <c r="R196" s="46"/>
    </row>
    <row r="197" spans="17:18">
      <c r="Q197" s="46"/>
      <c r="R197" s="46"/>
    </row>
    <row r="198" spans="17:18">
      <c r="Q198" s="46"/>
      <c r="R198" s="46"/>
    </row>
    <row r="199" spans="17:18">
      <c r="Q199" s="46"/>
      <c r="R199" s="46"/>
    </row>
    <row r="200" spans="17:18">
      <c r="Q200" s="46"/>
      <c r="R200" s="46"/>
    </row>
    <row r="201" spans="17:18">
      <c r="Q201" s="46"/>
      <c r="R201" s="46"/>
    </row>
    <row r="202" spans="17:18">
      <c r="Q202" s="46"/>
      <c r="R202" s="46"/>
    </row>
    <row r="203" spans="17:18">
      <c r="Q203" s="46"/>
      <c r="R203" s="46"/>
    </row>
    <row r="204" spans="17:18">
      <c r="Q204" s="46"/>
      <c r="R204" s="46"/>
    </row>
    <row r="205" spans="17:18">
      <c r="Q205" s="46"/>
      <c r="R205" s="46"/>
    </row>
    <row r="206" spans="17:18">
      <c r="Q206" s="46"/>
      <c r="R206" s="46"/>
    </row>
    <row r="207" spans="17:18">
      <c r="Q207" s="46"/>
      <c r="R207" s="46"/>
    </row>
    <row r="208" spans="17:18">
      <c r="Q208" s="46"/>
      <c r="R208" s="46"/>
    </row>
    <row r="209" spans="17:18">
      <c r="Q209" s="46"/>
      <c r="R209" s="46"/>
    </row>
    <row r="210" spans="17:18">
      <c r="Q210" s="46"/>
      <c r="R210" s="46"/>
    </row>
    <row r="211" spans="17:18">
      <c r="Q211" s="46"/>
      <c r="R211" s="46"/>
    </row>
    <row r="212" spans="17:18">
      <c r="Q212" s="46"/>
      <c r="R212" s="46"/>
    </row>
    <row r="213" spans="17:18">
      <c r="Q213" s="46"/>
      <c r="R213" s="46"/>
    </row>
    <row r="214" spans="17:18">
      <c r="Q214" s="46"/>
      <c r="R214" s="46"/>
    </row>
    <row r="215" spans="17:18">
      <c r="Q215" s="46"/>
      <c r="R215" s="46"/>
    </row>
    <row r="216" spans="17:18">
      <c r="Q216" s="46"/>
      <c r="R216" s="46"/>
    </row>
    <row r="217" spans="17:18">
      <c r="Q217" s="46"/>
      <c r="R217" s="46"/>
    </row>
    <row r="218" spans="17:18">
      <c r="Q218" s="46"/>
      <c r="R218" s="46"/>
    </row>
    <row r="219" spans="17:18">
      <c r="Q219" s="46"/>
      <c r="R219" s="46"/>
    </row>
    <row r="220" spans="17:18">
      <c r="Q220" s="46"/>
      <c r="R220" s="46"/>
    </row>
    <row r="221" spans="17:18">
      <c r="Q221" s="46"/>
      <c r="R221" s="46"/>
    </row>
    <row r="222" spans="17:18">
      <c r="Q222" s="46"/>
      <c r="R222" s="46"/>
    </row>
    <row r="223" spans="17:18">
      <c r="Q223" s="46"/>
      <c r="R223" s="46"/>
    </row>
    <row r="224" spans="17:18">
      <c r="Q224" s="46"/>
      <c r="R224" s="46"/>
    </row>
    <row r="225" spans="17:18">
      <c r="Q225" s="46"/>
      <c r="R225" s="46"/>
    </row>
    <row r="226" spans="17:18">
      <c r="Q226" s="46"/>
      <c r="R226" s="46"/>
    </row>
    <row r="227" spans="17:18">
      <c r="Q227" s="46"/>
      <c r="R227" s="46"/>
    </row>
    <row r="228" spans="17:18">
      <c r="Q228" s="46"/>
      <c r="R228" s="46"/>
    </row>
    <row r="229" spans="17:18">
      <c r="Q229" s="46"/>
      <c r="R229" s="46"/>
    </row>
    <row r="230" spans="17:18">
      <c r="Q230" s="46"/>
      <c r="R230" s="46"/>
    </row>
    <row r="231" spans="17:18">
      <c r="Q231" s="46"/>
      <c r="R231" s="46"/>
    </row>
    <row r="232" spans="17:18">
      <c r="Q232" s="46"/>
      <c r="R232" s="46"/>
    </row>
    <row r="233" spans="17:18">
      <c r="Q233" s="46"/>
      <c r="R233" s="46"/>
    </row>
    <row r="234" spans="17:18">
      <c r="Q234" s="46"/>
      <c r="R234" s="46"/>
    </row>
    <row r="235" spans="17:18">
      <c r="Q235" s="46"/>
      <c r="R235" s="46"/>
    </row>
    <row r="236" spans="17:18">
      <c r="Q236" s="46"/>
      <c r="R236" s="46"/>
    </row>
    <row r="237" spans="17:18">
      <c r="Q237" s="46"/>
      <c r="R237" s="46"/>
    </row>
    <row r="238" spans="17:18">
      <c r="Q238" s="46"/>
      <c r="R238" s="46"/>
    </row>
    <row r="239" spans="17:18">
      <c r="Q239" s="46"/>
      <c r="R239" s="46"/>
    </row>
    <row r="240" spans="17:18">
      <c r="Q240" s="46"/>
      <c r="R240" s="46"/>
    </row>
    <row r="241" spans="17:18">
      <c r="Q241" s="46"/>
      <c r="R241" s="46"/>
    </row>
    <row r="242" spans="17:18">
      <c r="Q242" s="46"/>
      <c r="R242" s="46"/>
    </row>
    <row r="243" spans="17:18">
      <c r="Q243" s="46"/>
      <c r="R243" s="46"/>
    </row>
    <row r="244" spans="17:18">
      <c r="Q244" s="46"/>
      <c r="R244" s="46"/>
    </row>
    <row r="245" spans="17:18">
      <c r="Q245" s="46"/>
      <c r="R245" s="46"/>
    </row>
    <row r="246" spans="17:18">
      <c r="Q246" s="46"/>
      <c r="R246" s="46"/>
    </row>
    <row r="247" spans="17:18">
      <c r="Q247" s="46"/>
      <c r="R247" s="46"/>
    </row>
    <row r="248" spans="17:18">
      <c r="Q248" s="46"/>
      <c r="R248" s="46"/>
    </row>
    <row r="249" spans="17:18">
      <c r="Q249" s="46"/>
      <c r="R249" s="46"/>
    </row>
    <row r="250" spans="17:18">
      <c r="Q250" s="46"/>
      <c r="R250" s="4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46"/>
  <sheetViews>
    <sheetView workbookViewId="0">
      <pane xSplit="1" ySplit="12" topLeftCell="B15" activePane="bottomRight" state="frozen"/>
      <selection pane="topRight" activeCell="B1" sqref="B1"/>
      <selection pane="bottomLeft" activeCell="A13" sqref="A13"/>
      <selection pane="bottomRight" activeCell="L42" sqref="L42"/>
    </sheetView>
  </sheetViews>
  <sheetFormatPr defaultColWidth="9.140625" defaultRowHeight="12.75"/>
  <cols>
    <col min="1" max="1" width="13" style="1" customWidth="1"/>
    <col min="2" max="2" width="10.85546875" style="1" customWidth="1"/>
    <col min="3" max="3" width="9.42578125" style="1" customWidth="1"/>
    <col min="4" max="4" width="10.85546875" style="1" customWidth="1"/>
    <col min="5" max="6" width="9.42578125" style="1" customWidth="1"/>
    <col min="7" max="8" width="8.28515625" style="1" customWidth="1"/>
    <col min="9" max="9" width="4.42578125" style="1" bestFit="1" customWidth="1"/>
    <col min="10" max="10" width="5" style="1" customWidth="1"/>
    <col min="11" max="12" width="6.85546875" style="1" customWidth="1"/>
    <col min="13" max="13" width="7.7109375" style="1" customWidth="1"/>
    <col min="14" max="15" width="9.28515625" style="1" customWidth="1"/>
    <col min="16" max="16384" width="9.140625" style="1"/>
  </cols>
  <sheetData>
    <row r="1" spans="1:15">
      <c r="A1" s="1" t="s">
        <v>42</v>
      </c>
      <c r="N1" s="1" t="s">
        <v>43</v>
      </c>
    </row>
    <row r="2" spans="1:15">
      <c r="A2" s="1" t="s">
        <v>7</v>
      </c>
      <c r="B2" s="1" t="s">
        <v>8</v>
      </c>
      <c r="D2" s="1" t="s">
        <v>8</v>
      </c>
      <c r="E2" s="1" t="s">
        <v>22</v>
      </c>
      <c r="H2" s="47"/>
    </row>
    <row r="3" spans="1:15">
      <c r="A3" s="1" t="s">
        <v>9</v>
      </c>
      <c r="B3" s="5" t="s">
        <v>207</v>
      </c>
      <c r="C3" s="5"/>
      <c r="D3" s="5" t="s">
        <v>207</v>
      </c>
      <c r="E3" s="5" t="s">
        <v>208</v>
      </c>
      <c r="F3" s="1" t="s">
        <v>23</v>
      </c>
      <c r="K3" s="5"/>
      <c r="L3" s="5"/>
    </row>
    <row r="4" spans="1:15">
      <c r="A4" s="1" t="s">
        <v>10</v>
      </c>
      <c r="B4" s="5" t="s">
        <v>26</v>
      </c>
      <c r="C4" s="5"/>
      <c r="D4" s="5" t="s">
        <v>26</v>
      </c>
      <c r="E4" s="5" t="s">
        <v>25</v>
      </c>
      <c r="K4" s="48"/>
      <c r="L4" s="48"/>
    </row>
    <row r="5" spans="1:15">
      <c r="A5" s="1" t="s">
        <v>12</v>
      </c>
      <c r="B5" s="1" t="s">
        <v>26</v>
      </c>
      <c r="D5" s="1" t="s">
        <v>27</v>
      </c>
      <c r="E5" s="1" t="s">
        <v>28</v>
      </c>
    </row>
    <row r="6" spans="1:15">
      <c r="A6" s="1" t="s">
        <v>29</v>
      </c>
      <c r="B6" s="1">
        <v>50</v>
      </c>
      <c r="C6" s="1" t="s">
        <v>30</v>
      </c>
      <c r="D6" s="1">
        <v>50</v>
      </c>
      <c r="E6" s="1">
        <v>130</v>
      </c>
      <c r="F6" s="1" t="s">
        <v>30</v>
      </c>
      <c r="G6" s="1" t="s">
        <v>30</v>
      </c>
      <c r="H6" s="1" t="s">
        <v>30</v>
      </c>
    </row>
    <row r="7" spans="1:15">
      <c r="A7" s="1" t="s">
        <v>14</v>
      </c>
      <c r="B7" s="5">
        <v>45407.564497569445</v>
      </c>
      <c r="C7" s="5"/>
      <c r="D7" s="5"/>
      <c r="E7" s="49">
        <v>45408.617920138888</v>
      </c>
    </row>
    <row r="8" spans="1:15" ht="15">
      <c r="K8" s="134" t="s">
        <v>44</v>
      </c>
      <c r="L8" s="50"/>
      <c r="M8" s="50"/>
      <c r="N8" s="50"/>
      <c r="O8" s="51"/>
    </row>
    <row r="9" spans="1:15" ht="9.75" customHeight="1" thickBot="1">
      <c r="B9" s="13"/>
      <c r="C9" s="52"/>
      <c r="D9" s="13"/>
      <c r="E9" s="13"/>
      <c r="F9" s="13"/>
      <c r="G9" s="13"/>
      <c r="H9" s="13"/>
      <c r="K9" s="53"/>
      <c r="L9" s="54"/>
      <c r="M9" s="54"/>
      <c r="N9" s="54"/>
      <c r="O9" s="55"/>
    </row>
    <row r="10" spans="1:15">
      <c r="B10" s="13"/>
      <c r="C10" s="52"/>
      <c r="D10" s="13"/>
      <c r="E10" s="13"/>
      <c r="F10" s="13"/>
      <c r="H10" s="13"/>
      <c r="K10" s="56" t="s">
        <v>45</v>
      </c>
      <c r="L10" s="16"/>
      <c r="M10" s="16"/>
      <c r="N10" s="16"/>
      <c r="O10" s="57"/>
    </row>
    <row r="11" spans="1:15" ht="39" customHeight="1">
      <c r="A11" s="58"/>
      <c r="B11" s="59" t="s">
        <v>34</v>
      </c>
      <c r="C11" s="59" t="s">
        <v>35</v>
      </c>
      <c r="D11" s="59" t="s">
        <v>36</v>
      </c>
      <c r="E11" s="59" t="s">
        <v>37</v>
      </c>
      <c r="F11" s="59" t="s">
        <v>16</v>
      </c>
      <c r="G11" s="59" t="s">
        <v>17</v>
      </c>
      <c r="H11" s="59" t="s">
        <v>18</v>
      </c>
      <c r="K11" s="60" t="s">
        <v>16</v>
      </c>
      <c r="L11" s="61"/>
      <c r="M11" s="61"/>
      <c r="N11" s="62" t="s">
        <v>17</v>
      </c>
      <c r="O11" s="63" t="s">
        <v>18</v>
      </c>
    </row>
    <row r="12" spans="1:15">
      <c r="A12" s="58" t="s">
        <v>38</v>
      </c>
      <c r="B12" s="59"/>
      <c r="C12" s="59"/>
      <c r="D12" s="59"/>
      <c r="E12" s="59"/>
      <c r="F12" s="59"/>
      <c r="G12" s="59"/>
      <c r="H12" s="59"/>
      <c r="K12" s="64" t="s">
        <v>46</v>
      </c>
      <c r="L12" s="65" t="s">
        <v>47</v>
      </c>
      <c r="M12" s="66" t="s">
        <v>41</v>
      </c>
      <c r="N12" s="67"/>
      <c r="O12" s="68"/>
    </row>
    <row r="13" spans="1:15">
      <c r="A13" s="1">
        <v>1996</v>
      </c>
      <c r="B13" s="69">
        <v>36583.499999999993</v>
      </c>
      <c r="C13" s="70">
        <f>IF(B13=" ",0,D13/B13*1000)</f>
        <v>694.82143589323061</v>
      </c>
      <c r="D13" s="71">
        <v>25419</v>
      </c>
      <c r="E13" s="72">
        <v>67.1173841791</v>
      </c>
      <c r="F13" s="41">
        <f ca="1">IF(OFFSET('Mnth to Qtr'!B$34,$I13,0)=0,"",AVERAGE(OFFSET('Mnth to Qtr'!B$34,$I13,0):OFFSET('Mnth to Qtr'!B$23,$I13,0)))</f>
        <v>65.02415124477929</v>
      </c>
      <c r="G13" s="41">
        <f ca="1">IF(OFFSET('Mnth to Qtr'!C$34,$I13,0)="","",AVERAGE(OFFSET('Mnth to Qtr'!C$34,$I13,0):OFFSET('Mnth to Qtr'!C$23,$I13,0)))</f>
        <v>64.118444444444435</v>
      </c>
      <c r="H13" s="41" t="str">
        <f ca="1">IF(OFFSET('Mnth to Qtr'!D$34,$I13,0)="","",AVERAGE(OFFSET('Mnth to Qtr'!D$34,$I13,0):OFFSET('Mnth to Qtr'!D$23,$I13,0)))</f>
        <v/>
      </c>
      <c r="I13" s="73">
        <f>I14-12</f>
        <v>-12</v>
      </c>
    </row>
    <row r="14" spans="1:15">
      <c r="A14" s="1">
        <v>1997</v>
      </c>
      <c r="B14" s="69">
        <v>36317.5</v>
      </c>
      <c r="C14" s="70">
        <f t="shared" ref="C14:C33" si="0">IF(B14=" ",0,D14/B14*1000)</f>
        <v>698.94678873821158</v>
      </c>
      <c r="D14" s="71">
        <v>25384</v>
      </c>
      <c r="E14" s="72">
        <v>65.679542356743951</v>
      </c>
      <c r="F14" s="41">
        <f ca="1">IF(OFFSET('Mnth to Qtr'!B$34,$I14,0)=0,"",AVERAGE(OFFSET('Mnth to Qtr'!B$34,$I14,0):OFFSET('Mnth to Qtr'!B$23,$I14,0)))</f>
        <v>66.036172496770746</v>
      </c>
      <c r="G14" s="41">
        <f ca="1">IF(OFFSET('Mnth to Qtr'!C$34,$I14,0)="","",AVERAGE(OFFSET('Mnth to Qtr'!C$34,$I14,0):OFFSET('Mnth to Qtr'!C$23,$I14,0)))</f>
        <v>94.260340277777786</v>
      </c>
      <c r="H14" s="41" t="str">
        <f ca="1">IF(OFFSET('Mnth to Qtr'!D$34,$I14,0)="","",AVERAGE(OFFSET('Mnth to Qtr'!D$34,$I14,0):OFFSET('Mnth to Qtr'!D$23,$I14,0)))</f>
        <v/>
      </c>
      <c r="I14" s="73">
        <f>I15-12</f>
        <v>0</v>
      </c>
    </row>
    <row r="15" spans="1:15">
      <c r="A15" s="1">
        <v>1998</v>
      </c>
      <c r="B15" s="69">
        <v>35464.899999999994</v>
      </c>
      <c r="C15" s="70">
        <f t="shared" si="0"/>
        <v>723.3349029603919</v>
      </c>
      <c r="D15" s="71">
        <v>25653</v>
      </c>
      <c r="E15" s="72">
        <v>66.677190185823676</v>
      </c>
      <c r="F15" s="41">
        <f ca="1">IF(OFFSET('Mnth to Qtr'!B$34,$I15,0)=0,"",AVERAGE(OFFSET('Mnth to Qtr'!B$34,$I15,0):OFFSET('Mnth to Qtr'!B$23,$I15,0)))</f>
        <v>61.688010070603589</v>
      </c>
      <c r="G15" s="41">
        <f ca="1">IF(OFFSET('Mnth to Qtr'!C$34,$I15,0)="","",AVERAGE(OFFSET('Mnth to Qtr'!C$34,$I15,0):OFFSET('Mnth to Qtr'!C$23,$I15,0)))</f>
        <v>91.97689583333333</v>
      </c>
      <c r="H15" s="41" t="str">
        <f ca="1">IF(OFFSET('Mnth to Qtr'!D$34,$I15,0)="","",AVERAGE(OFFSET('Mnth to Qtr'!D$34,$I15,0):OFFSET('Mnth to Qtr'!D$23,$I15,0)))</f>
        <v/>
      </c>
      <c r="I15" s="73">
        <v>12</v>
      </c>
      <c r="J15" s="73"/>
      <c r="K15" s="46"/>
      <c r="L15" s="46"/>
    </row>
    <row r="16" spans="1:15">
      <c r="A16" s="1">
        <v>1999</v>
      </c>
      <c r="B16" s="69">
        <v>36149.9</v>
      </c>
      <c r="C16" s="70">
        <f t="shared" si="0"/>
        <v>729.90520029101049</v>
      </c>
      <c r="D16" s="71">
        <v>26386</v>
      </c>
      <c r="E16" s="72">
        <v>67.501975949165626</v>
      </c>
      <c r="F16" s="41">
        <f ca="1">IF(OFFSET('Mnth to Qtr'!B$34,$I16,0)=0,"",AVERAGE(OFFSET('Mnth to Qtr'!B$34,$I16,0):OFFSET('Mnth to Qtr'!B$23,$I16,0)))</f>
        <v>65.756907344171978</v>
      </c>
      <c r="G16" s="41">
        <f ca="1">IF(OFFSET('Mnth to Qtr'!C$34,$I16,0)="","",AVERAGE(OFFSET('Mnth to Qtr'!C$34,$I16,0):OFFSET('Mnth to Qtr'!C$23,$I16,0)))</f>
        <v>98.657965277777791</v>
      </c>
      <c r="H16" s="41" t="str">
        <f ca="1">IF(OFFSET('Mnth to Qtr'!D$34,$I16,0)="","",AVERAGE(OFFSET('Mnth to Qtr'!D$34,$I16,0):OFFSET('Mnth to Qtr'!D$23,$I16,0)))</f>
        <v/>
      </c>
      <c r="I16" s="73">
        <f t="shared" ref="I16:I30" si="1">I15+12</f>
        <v>24</v>
      </c>
      <c r="J16" s="73"/>
      <c r="K16" s="46"/>
      <c r="L16" s="46"/>
    </row>
    <row r="17" spans="1:15">
      <c r="A17" s="1">
        <v>2000</v>
      </c>
      <c r="B17" s="69">
        <v>36246.000000000007</v>
      </c>
      <c r="C17" s="70">
        <f t="shared" si="0"/>
        <v>738.75738012470322</v>
      </c>
      <c r="D17" s="71">
        <v>26777</v>
      </c>
      <c r="E17" s="72">
        <v>67.764953055768657</v>
      </c>
      <c r="F17" s="41">
        <f ca="1">IF(OFFSET('Mnth to Qtr'!B$34,$I17,0)=0,"",AVERAGE(OFFSET('Mnth to Qtr'!B$34,$I17,0):OFFSET('Mnth to Qtr'!B$23,$I17,0)))</f>
        <v>69.143869834118775</v>
      </c>
      <c r="G17" s="41">
        <f ca="1">IF(OFFSET('Mnth to Qtr'!C$34,$I17,0)="","",AVERAGE(OFFSET('Mnth to Qtr'!C$34,$I17,0):OFFSET('Mnth to Qtr'!C$23,$I17,0)))</f>
        <v>87.341666666666654</v>
      </c>
      <c r="H17" s="41">
        <f ca="1">IF(OFFSET('Mnth to Qtr'!D$34,$I17,0)="","",AVERAGE(OFFSET('Mnth to Qtr'!D$34,$I17,0):OFFSET('Mnth to Qtr'!D$23,$I17,0)))</f>
        <v>99.350000000000009</v>
      </c>
      <c r="I17" s="73">
        <f t="shared" si="1"/>
        <v>36</v>
      </c>
      <c r="J17" s="73"/>
      <c r="K17" s="46"/>
      <c r="L17" s="46"/>
    </row>
    <row r="18" spans="1:15">
      <c r="A18" s="1">
        <v>2001</v>
      </c>
      <c r="B18" s="69">
        <v>35369.800000000003</v>
      </c>
      <c r="C18" s="70">
        <f t="shared" si="0"/>
        <v>738.1155675180521</v>
      </c>
      <c r="D18" s="71">
        <v>26107</v>
      </c>
      <c r="E18" s="72">
        <v>66.325092784689957</v>
      </c>
      <c r="F18" s="41">
        <f ca="1">IF(OFFSET('Mnth to Qtr'!B$34,$I18,0)=0,"",AVERAGE(OFFSET('Mnth to Qtr'!B$34,$I18,0):OFFSET('Mnth to Qtr'!B$23,$I18,0)))</f>
        <v>72.402627529838341</v>
      </c>
      <c r="G18" s="41">
        <f ca="1">IF(OFFSET('Mnth to Qtr'!C$34,$I18,0)="","",AVERAGE(OFFSET('Mnth to Qtr'!C$34,$I18,0):OFFSET('Mnth to Qtr'!C$23,$I18,0)))</f>
        <v>89.096666666666678</v>
      </c>
      <c r="H18" s="41">
        <f ca="1">IF(OFFSET('Mnth to Qtr'!D$34,$I18,0)="","",AVERAGE(OFFSET('Mnth to Qtr'!D$34,$I18,0):OFFSET('Mnth to Qtr'!D$23,$I18,0)))</f>
        <v>100.84833333333334</v>
      </c>
      <c r="I18" s="73">
        <f t="shared" si="1"/>
        <v>48</v>
      </c>
      <c r="J18" s="73"/>
      <c r="K18" s="46"/>
      <c r="L18" s="46"/>
    </row>
    <row r="19" spans="1:15">
      <c r="A19" s="1">
        <v>2002</v>
      </c>
      <c r="B19" s="69">
        <v>35734.5</v>
      </c>
      <c r="C19" s="70">
        <f t="shared" si="0"/>
        <v>758.09092053897496</v>
      </c>
      <c r="D19" s="71">
        <v>27090</v>
      </c>
      <c r="E19" s="72">
        <v>67.766977002156949</v>
      </c>
      <c r="F19" s="41">
        <f ca="1">IF(OFFSET('Mnth to Qtr'!B$34,$I19,0)=0,"",AVERAGE(OFFSET('Mnth to Qtr'!B$34,$I19,0):OFFSET('Mnth to Qtr'!B$23,$I19,0)))</f>
        <v>67.269680109807709</v>
      </c>
      <c r="G19" s="41">
        <f ca="1">IF(OFFSET('Mnth to Qtr'!C$34,$I19,0)="","",AVERAGE(OFFSET('Mnth to Qtr'!C$34,$I19,0):OFFSET('Mnth to Qtr'!C$23,$I19,0)))</f>
        <v>81.16</v>
      </c>
      <c r="H19" s="41">
        <f ca="1">IF(OFFSET('Mnth to Qtr'!D$34,$I19,0)="","",AVERAGE(OFFSET('Mnth to Qtr'!D$34,$I19,0):OFFSET('Mnth to Qtr'!D$23,$I19,0)))</f>
        <v>91.59416666666668</v>
      </c>
      <c r="I19" s="73">
        <f t="shared" si="1"/>
        <v>60</v>
      </c>
      <c r="J19" s="73"/>
      <c r="K19" s="46"/>
      <c r="L19" s="46"/>
    </row>
    <row r="20" spans="1:15">
      <c r="A20" s="1">
        <v>2003</v>
      </c>
      <c r="B20" s="69">
        <v>35493.5</v>
      </c>
      <c r="C20" s="70">
        <f t="shared" si="0"/>
        <v>739.23394424331218</v>
      </c>
      <c r="D20" s="71">
        <v>26238</v>
      </c>
      <c r="E20" s="72">
        <v>65.031152255389756</v>
      </c>
      <c r="F20" s="41">
        <f ca="1">IF(OFFSET('Mnth to Qtr'!B$34,$I20,0)=0,"",AVERAGE(OFFSET('Mnth to Qtr'!B$34,$I20,0):OFFSET('Mnth to Qtr'!B$23,$I20,0)))</f>
        <v>83.884326209198605</v>
      </c>
      <c r="G20" s="41">
        <f ca="1">IF(OFFSET('Mnth to Qtr'!C$34,$I20,0)="","",AVERAGE(OFFSET('Mnth to Qtr'!C$34,$I20,0):OFFSET('Mnth to Qtr'!C$23,$I20,0)))</f>
        <v>90.850833333333341</v>
      </c>
      <c r="H20" s="41">
        <f ca="1">IF(OFFSET('Mnth to Qtr'!D$34,$I20,0)="","",AVERAGE(OFFSET('Mnth to Qtr'!D$34,$I20,0):OFFSET('Mnth to Qtr'!D$23,$I20,0)))</f>
        <v>100.78583333333334</v>
      </c>
      <c r="I20" s="73">
        <f t="shared" si="1"/>
        <v>72</v>
      </c>
      <c r="J20" s="73"/>
      <c r="K20" s="46"/>
      <c r="L20" s="46"/>
    </row>
    <row r="21" spans="1:15">
      <c r="A21" s="1">
        <v>2004</v>
      </c>
      <c r="B21" s="69">
        <v>32728.3</v>
      </c>
      <c r="C21" s="70">
        <f t="shared" si="0"/>
        <v>750.05423440875325</v>
      </c>
      <c r="D21" s="71">
        <v>24548</v>
      </c>
      <c r="E21" s="72">
        <v>66.237434991310991</v>
      </c>
      <c r="F21" s="41">
        <f ca="1">IF(OFFSET('Mnth to Qtr'!B$34,$I21,0)=0,"",AVERAGE(OFFSET('Mnth to Qtr'!B$34,$I21,0):OFFSET('Mnth to Qtr'!B$23,$I21,0)))</f>
        <v>84.737432531713111</v>
      </c>
      <c r="G21" s="41">
        <f ca="1">IF(OFFSET('Mnth to Qtr'!C$34,$I21,0)="","",AVERAGE(OFFSET('Mnth to Qtr'!C$34,$I21,0):OFFSET('Mnth to Qtr'!C$23,$I21,0)))</f>
        <v>106.15500000000002</v>
      </c>
      <c r="H21" s="41">
        <f ca="1">IF(OFFSET('Mnth to Qtr'!D$34,$I21,0)="","",AVERAGE(OFFSET('Mnth to Qtr'!D$34,$I21,0):OFFSET('Mnth to Qtr'!D$23,$I21,0)))</f>
        <v>119.67416666666666</v>
      </c>
      <c r="I21" s="73">
        <f t="shared" si="1"/>
        <v>84</v>
      </c>
      <c r="J21" s="73"/>
      <c r="K21" s="37"/>
      <c r="L21" s="37"/>
      <c r="M21" s="37"/>
      <c r="N21" s="36"/>
      <c r="O21" s="38"/>
    </row>
    <row r="22" spans="1:15">
      <c r="A22" s="1">
        <v>2005</v>
      </c>
      <c r="B22" s="69">
        <v>32387.600000000002</v>
      </c>
      <c r="C22" s="70">
        <f t="shared" si="0"/>
        <v>762.11266040089413</v>
      </c>
      <c r="D22" s="71">
        <v>24683</v>
      </c>
      <c r="E22" s="72">
        <v>65.636413231266573</v>
      </c>
      <c r="F22" s="41">
        <f ca="1">IF(OFFSET('Mnth to Qtr'!B$34,$I22,0)=0,"",AVERAGE(OFFSET('Mnth to Qtr'!B$34,$I22,0):OFFSET('Mnth to Qtr'!B$23,$I22,0)))</f>
        <v>87.700184960361568</v>
      </c>
      <c r="G22" s="41">
        <f ca="1">IF(OFFSET('Mnth to Qtr'!C$34,$I22,0)="","",AVERAGE(OFFSET('Mnth to Qtr'!C$34,$I22,0):OFFSET('Mnth to Qtr'!C$23,$I22,0)))</f>
        <v>112.75083333333333</v>
      </c>
      <c r="H22" s="41">
        <f ca="1">IF(OFFSET('Mnth to Qtr'!D$34,$I22,0)="","",AVERAGE(OFFSET('Mnth to Qtr'!D$34,$I22,0):OFFSET('Mnth to Qtr'!D$23,$I22,0)))</f>
        <v>129.25083333333333</v>
      </c>
      <c r="I22" s="73">
        <f t="shared" si="1"/>
        <v>96</v>
      </c>
      <c r="J22" s="73"/>
      <c r="K22" s="37"/>
      <c r="L22" s="37"/>
      <c r="M22" s="37"/>
      <c r="N22" s="36"/>
      <c r="O22" s="38"/>
    </row>
    <row r="23" spans="1:15">
      <c r="A23" s="1">
        <v>2006</v>
      </c>
      <c r="B23" s="69">
        <v>33698.300000000003</v>
      </c>
      <c r="C23" s="70">
        <f t="shared" si="0"/>
        <v>776.05991993661394</v>
      </c>
      <c r="D23" s="71">
        <v>26151.9</v>
      </c>
      <c r="E23" s="72">
        <v>65.913020597695109</v>
      </c>
      <c r="F23" s="41">
        <f ca="1">IF(OFFSET('Mnth to Qtr'!B$34,$I23,0)=0,"",AVERAGE(OFFSET('Mnth to Qtr'!B$34,$I23,0):OFFSET('Mnth to Qtr'!B$23,$I23,0)))</f>
        <v>85.941945846279609</v>
      </c>
      <c r="G23" s="41">
        <f ca="1">IF(OFFSET('Mnth to Qtr'!C$34,$I23,0)="","",AVERAGE(OFFSET('Mnth to Qtr'!C$34,$I23,0):OFFSET('Mnth to Qtr'!C$23,$I23,0)))</f>
        <v>109.97166666666665</v>
      </c>
      <c r="H23" s="41">
        <f ca="1">IF(OFFSET('Mnth to Qtr'!D$34,$I23,0)="","",AVERAGE(OFFSET('Mnth to Qtr'!D$34,$I23,0):OFFSET('Mnth to Qtr'!D$23,$I23,0)))</f>
        <v>126.22000000000001</v>
      </c>
      <c r="I23" s="73">
        <f t="shared" si="1"/>
        <v>108</v>
      </c>
      <c r="J23" s="73"/>
      <c r="K23" s="136"/>
      <c r="L23" s="137"/>
      <c r="M23" s="41"/>
      <c r="N23" s="75"/>
      <c r="O23" s="4"/>
    </row>
    <row r="24" spans="1:15">
      <c r="A24" s="1">
        <v>2007</v>
      </c>
      <c r="B24" s="69">
        <v>34264.199999999997</v>
      </c>
      <c r="C24" s="70">
        <f t="shared" si="0"/>
        <v>771.0817704776415</v>
      </c>
      <c r="D24" s="71">
        <v>26420.5</v>
      </c>
      <c r="E24" s="72">
        <v>65.29413670253453</v>
      </c>
      <c r="F24" s="41">
        <f ca="1">IF(OFFSET('Mnth to Qtr'!B$34,$I24,0)=0,"",AVERAGE(OFFSET('Mnth to Qtr'!B$34,$I24,0):OFFSET('Mnth to Qtr'!B$23,$I24,0)))</f>
        <v>92.608081201234256</v>
      </c>
      <c r="G24" s="41">
        <f ca="1">IF(OFFSET('Mnth to Qtr'!C$34,$I24,0)="","",AVERAGE(OFFSET('Mnth to Qtr'!C$34,$I24,0):OFFSET('Mnth to Qtr'!C$23,$I24,0)))</f>
        <v>109.52333333333331</v>
      </c>
      <c r="H24" s="41">
        <f ca="1">IF(OFFSET('Mnth to Qtr'!D$34,$I24,0)="","",AVERAGE(OFFSET('Mnth to Qtr'!D$34,$I24,0):OFFSET('Mnth to Qtr'!D$23,$I24,0)))</f>
        <v>121.96750000000002</v>
      </c>
      <c r="I24" s="73">
        <f t="shared" si="1"/>
        <v>120</v>
      </c>
      <c r="J24" s="73"/>
      <c r="K24" s="136"/>
      <c r="L24" s="137"/>
      <c r="M24" s="41"/>
      <c r="N24" s="75"/>
      <c r="O24" s="4"/>
    </row>
    <row r="25" spans="1:15">
      <c r="A25" s="1">
        <v>2008</v>
      </c>
      <c r="B25" s="69">
        <v>34364.800000000003</v>
      </c>
      <c r="C25" s="70">
        <f t="shared" si="0"/>
        <v>772.91880063320605</v>
      </c>
      <c r="D25" s="71">
        <v>26561.200000000001</v>
      </c>
      <c r="E25" s="72">
        <v>62.490134500115708</v>
      </c>
      <c r="F25" s="41">
        <f ca="1">IF(OFFSET('Mnth to Qtr'!B$34,$I25,0)=0,"",AVERAGE(OFFSET('Mnth to Qtr'!B$34,$I25,0):OFFSET('Mnth to Qtr'!B$23,$I25,0)))</f>
        <v>92.777211040084026</v>
      </c>
      <c r="G25" s="41">
        <f ca="1">IF(OFFSET('Mnth to Qtr'!C$34,$I25,0)="","",AVERAGE(OFFSET('Mnth to Qtr'!C$34,$I25,0):OFFSET('Mnth to Qtr'!C$23,$I25,0)))</f>
        <v>104.985</v>
      </c>
      <c r="H25" s="41">
        <f ca="1">IF(OFFSET('Mnth to Qtr'!D$34,$I25,0)="","",AVERAGE(OFFSET('Mnth to Qtr'!D$34,$I25,0):OFFSET('Mnth to Qtr'!D$23,$I25,0)))</f>
        <v>115.81083333333333</v>
      </c>
      <c r="I25" s="73">
        <f t="shared" si="1"/>
        <v>132</v>
      </c>
      <c r="J25" s="73"/>
      <c r="K25" s="136">
        <v>92</v>
      </c>
      <c r="L25" s="137">
        <v>93</v>
      </c>
      <c r="M25" s="41">
        <f t="shared" ref="M25:M33" si="2">IF(K25="","",(K25+L25)/2)</f>
        <v>92.5</v>
      </c>
      <c r="N25" s="75" t="s">
        <v>85</v>
      </c>
      <c r="O25" s="4" t="s">
        <v>91</v>
      </c>
    </row>
    <row r="26" spans="1:15">
      <c r="A26" s="1">
        <v>2009</v>
      </c>
      <c r="B26" s="69">
        <v>33338.299999999996</v>
      </c>
      <c r="C26" s="70">
        <f t="shared" si="0"/>
        <v>778.84595195315899</v>
      </c>
      <c r="D26" s="71">
        <v>25965.399999999998</v>
      </c>
      <c r="E26" s="72">
        <v>61.114373280561203</v>
      </c>
      <c r="F26" s="41">
        <f ca="1">IF(OFFSET('Mnth to Qtr'!B$34,$I26,0)=0,"",AVERAGE(OFFSET('Mnth to Qtr'!B$34,$I26,0):OFFSET('Mnth to Qtr'!B$23,$I26,0)))</f>
        <v>83.250185803897935</v>
      </c>
      <c r="G26" s="41">
        <f ca="1">IF(OFFSET('Mnth to Qtr'!C$34,$I26,0)="","",AVERAGE(OFFSET('Mnth to Qtr'!C$34,$I26,0):OFFSET('Mnth to Qtr'!C$23,$I26,0)))</f>
        <v>97.28166666666668</v>
      </c>
      <c r="H26" s="41">
        <f ca="1">IF(OFFSET('Mnth to Qtr'!D$34,$I26,0)="","",AVERAGE(OFFSET('Mnth to Qtr'!D$34,$I26,0):OFFSET('Mnth to Qtr'!D$23,$I26,0)))</f>
        <v>109.67916666666663</v>
      </c>
      <c r="I26" s="73">
        <f t="shared" si="1"/>
        <v>144</v>
      </c>
      <c r="J26" s="73"/>
      <c r="K26" s="74">
        <v>83</v>
      </c>
      <c r="L26" s="4">
        <v>84</v>
      </c>
      <c r="M26" s="41">
        <f t="shared" si="2"/>
        <v>83.5</v>
      </c>
      <c r="N26" s="75" t="s">
        <v>96</v>
      </c>
      <c r="O26" s="4" t="s">
        <v>93</v>
      </c>
    </row>
    <row r="27" spans="1:15">
      <c r="A27" s="1">
        <v>2010</v>
      </c>
      <c r="B27" s="69">
        <v>34249.100000000006</v>
      </c>
      <c r="C27" s="70">
        <f t="shared" si="0"/>
        <v>768.03186069122989</v>
      </c>
      <c r="D27" s="71">
        <v>26304.400000000005</v>
      </c>
      <c r="E27" s="72">
        <v>59.571168887924514</v>
      </c>
      <c r="F27" s="41">
        <f ca="1">IF(OFFSET('Mnth to Qtr'!B$34,$I27,0)=0,"",AVERAGE(OFFSET('Mnth to Qtr'!B$34,$I27,0):OFFSET('Mnth to Qtr'!B$23,$I27,0)))</f>
        <v>95.378725158971307</v>
      </c>
      <c r="G27" s="41">
        <f ca="1">IF(OFFSET('Mnth to Qtr'!C$34,$I27,0)="","",AVERAGE(OFFSET('Mnth to Qtr'!C$34,$I27,0):OFFSET('Mnth to Qtr'!C$23,$I27,0)))</f>
        <v>110.88833333333332</v>
      </c>
      <c r="H27" s="41">
        <f ca="1">IF(OFFSET('Mnth to Qtr'!D$34,$I27,0)="","",AVERAGE(OFFSET('Mnth to Qtr'!D$34,$I27,0):OFFSET('Mnth to Qtr'!D$23,$I27,0)))</f>
        <v>122.83999999999999</v>
      </c>
      <c r="I27" s="73">
        <f t="shared" si="1"/>
        <v>156</v>
      </c>
      <c r="J27" s="73"/>
      <c r="K27" s="74">
        <v>95</v>
      </c>
      <c r="L27" s="4">
        <v>96</v>
      </c>
      <c r="M27" s="41">
        <f t="shared" si="2"/>
        <v>95.5</v>
      </c>
      <c r="N27" s="75" t="s">
        <v>103</v>
      </c>
      <c r="O27" s="4" t="s">
        <v>102</v>
      </c>
    </row>
    <row r="28" spans="1:15">
      <c r="A28" s="1">
        <v>2011</v>
      </c>
      <c r="B28" s="69">
        <v>34086.5</v>
      </c>
      <c r="C28" s="70">
        <f t="shared" si="0"/>
        <v>768.49485866838779</v>
      </c>
      <c r="D28" s="71">
        <v>26195.3</v>
      </c>
      <c r="E28" s="72">
        <v>57.269538821272391</v>
      </c>
      <c r="F28" s="41">
        <f ca="1">IF(OFFSET('Mnth to Qtr'!B$34,$I28,0)=0,"",AVERAGE(OFFSET('Mnth to Qtr'!B$34,$I28,0):OFFSET('Mnth to Qtr'!B$23,$I28,0)))</f>
        <v>114.72466431067996</v>
      </c>
      <c r="G28" s="41">
        <f ca="1">IF(OFFSET('Mnth to Qtr'!C$34,$I28,0)="","",AVERAGE(OFFSET('Mnth to Qtr'!C$34,$I28,0):OFFSET('Mnth to Qtr'!C$23,$I28,0)))</f>
        <v>135.04166666666666</v>
      </c>
      <c r="H28" s="41">
        <f ca="1">IF(OFFSET('Mnth to Qtr'!D$34,$I28,0)="","",AVERAGE(OFFSET('Mnth to Qtr'!D$34,$I28,0):OFFSET('Mnth to Qtr'!D$23,$I28,0)))</f>
        <v>148.37083333333337</v>
      </c>
      <c r="I28" s="73">
        <f t="shared" si="1"/>
        <v>168</v>
      </c>
      <c r="J28" s="73"/>
      <c r="K28" s="74">
        <v>114</v>
      </c>
      <c r="L28" s="4">
        <v>115</v>
      </c>
      <c r="M28" s="41">
        <f t="shared" si="2"/>
        <v>114.5</v>
      </c>
      <c r="N28" s="75" t="s">
        <v>115</v>
      </c>
      <c r="O28" s="4" t="s">
        <v>114</v>
      </c>
    </row>
    <row r="29" spans="1:15">
      <c r="A29" s="1">
        <v>2012</v>
      </c>
      <c r="B29" s="69">
        <v>32950.800000000003</v>
      </c>
      <c r="C29" s="70">
        <f t="shared" si="0"/>
        <v>786.40275805139765</v>
      </c>
      <c r="D29" s="71">
        <v>25912.6</v>
      </c>
      <c r="E29" s="72">
        <v>57.361686046224492</v>
      </c>
      <c r="F29" s="41">
        <f ca="1">IF(OFFSET('Mnth to Qtr'!B$34,$I29,0)=0,"",AVERAGE(OFFSET('Mnth to Qtr'!B$34,$I29,0):OFFSET('Mnth to Qtr'!B$23,$I29,0)))</f>
        <v>122.85954302257947</v>
      </c>
      <c r="G29" s="41">
        <f ca="1">IF(OFFSET('Mnth to Qtr'!C$34,$I29,0)="","",AVERAGE(OFFSET('Mnth to Qtr'!C$34,$I29,0):OFFSET('Mnth to Qtr'!C$23,$I29,0)))</f>
        <v>148.80666666666664</v>
      </c>
      <c r="H29" s="41">
        <f ca="1">IF(OFFSET('Mnth to Qtr'!D$34,$I29,0)="","",AVERAGE(OFFSET('Mnth to Qtr'!D$34,$I29,0):OFFSET('Mnth to Qtr'!D$23,$I29,0)))</f>
        <v>168.26083333333332</v>
      </c>
      <c r="I29" s="73">
        <f t="shared" si="1"/>
        <v>180</v>
      </c>
      <c r="J29" s="73"/>
      <c r="K29" s="74">
        <v>122</v>
      </c>
      <c r="L29" s="4">
        <v>123</v>
      </c>
      <c r="M29" s="41">
        <f t="shared" si="2"/>
        <v>122.5</v>
      </c>
      <c r="N29" s="75" t="s">
        <v>114</v>
      </c>
      <c r="O29" s="4" t="s">
        <v>123</v>
      </c>
    </row>
    <row r="30" spans="1:15">
      <c r="A30" s="1">
        <v>2013</v>
      </c>
      <c r="B30" s="69">
        <v>32462.3</v>
      </c>
      <c r="C30" s="70">
        <f t="shared" si="0"/>
        <v>792.30060716585081</v>
      </c>
      <c r="D30" s="71">
        <v>25719.899999999998</v>
      </c>
      <c r="E30" s="72">
        <v>56.371050338444867</v>
      </c>
      <c r="F30" s="41">
        <f ca="1">IF(OFFSET('Mnth to Qtr'!B$34,$I30,0)=0,"",AVERAGE(OFFSET('Mnth to Qtr'!B$34,$I30,0):OFFSET('Mnth to Qtr'!B$23,$I30,0)))</f>
        <v>125.883667840079</v>
      </c>
      <c r="G30" s="41">
        <f ca="1">IF(OFFSET('Mnth to Qtr'!C$34,$I30,0)="","",AVERAGE(OFFSET('Mnth to Qtr'!C$34,$I30,0):OFFSET('Mnth to Qtr'!C$23,$I30,0)))</f>
        <v>150.68666666666667</v>
      </c>
      <c r="H30" s="41">
        <f ca="1">IF(OFFSET('Mnth to Qtr'!D$34,$I30,0)="","",AVERAGE(OFFSET('Mnth to Qtr'!D$34,$I30,0):OFFSET('Mnth to Qtr'!D$23,$I30,0)))</f>
        <v>172.15</v>
      </c>
      <c r="I30" s="73">
        <f t="shared" si="1"/>
        <v>192</v>
      </c>
      <c r="K30" s="74">
        <v>125</v>
      </c>
      <c r="L30" s="4">
        <v>127</v>
      </c>
      <c r="M30" s="41">
        <f t="shared" si="2"/>
        <v>126</v>
      </c>
      <c r="N30" s="75" t="s">
        <v>134</v>
      </c>
      <c r="O30" s="4" t="s">
        <v>135</v>
      </c>
    </row>
    <row r="31" spans="1:15">
      <c r="A31" s="1">
        <v>2014</v>
      </c>
      <c r="B31" s="69">
        <v>30169.899999999998</v>
      </c>
      <c r="C31" s="70">
        <f t="shared" si="0"/>
        <v>803.83428516501544</v>
      </c>
      <c r="D31" s="71">
        <v>24251.599999999999</v>
      </c>
      <c r="E31" s="72">
        <v>54.248366089113318</v>
      </c>
      <c r="F31" s="41">
        <f ca="1">IF(OFFSET('Mnth to Qtr'!B$34,$I31,0)=0,"",AVERAGE(OFFSET('Mnth to Qtr'!B$34,$I31,0):OFFSET('Mnth to Qtr'!B$23,$I31,0)))</f>
        <v>154.55945669028205</v>
      </c>
      <c r="G31" s="41">
        <f ca="1">IF(OFFSET('Mnth to Qtr'!C$34,$I31,0)="","",AVERAGE(OFFSET('Mnth to Qtr'!C$34,$I31,0):OFFSET('Mnth to Qtr'!C$23,$I31,0)))</f>
        <v>207.66833333333332</v>
      </c>
      <c r="H31" s="41">
        <f ca="1">IF(OFFSET('Mnth to Qtr'!D$34,$I31,0)="","",AVERAGE(OFFSET('Mnth to Qtr'!D$34,$I31,0):OFFSET('Mnth to Qtr'!D$23,$I31,0)))</f>
        <v>246.43499999999997</v>
      </c>
      <c r="I31" s="73">
        <f t="shared" ref="I31:I41" si="3">I30+12</f>
        <v>204</v>
      </c>
      <c r="J31" s="73"/>
      <c r="K31" s="74">
        <v>154</v>
      </c>
      <c r="L31" s="4">
        <v>155</v>
      </c>
      <c r="M31" s="41">
        <f t="shared" si="2"/>
        <v>154.5</v>
      </c>
      <c r="N31" s="75" t="s">
        <v>146</v>
      </c>
      <c r="O31" s="4" t="s">
        <v>147</v>
      </c>
    </row>
    <row r="32" spans="1:15">
      <c r="A32" s="1">
        <v>2015</v>
      </c>
      <c r="B32" s="69">
        <v>28751.599999999999</v>
      </c>
      <c r="C32" s="70">
        <f t="shared" si="0"/>
        <v>824.22543441060657</v>
      </c>
      <c r="D32" s="71">
        <v>23697.799999999996</v>
      </c>
      <c r="E32" s="72">
        <v>54.027401210441404</v>
      </c>
      <c r="F32" s="41">
        <f ca="1">IF(OFFSET('Mnth to Qtr'!B$34,$I32,0)=0,"",AVERAGE(OFFSET('Mnth to Qtr'!B$34,$I32,0):OFFSET('Mnth to Qtr'!B$23,$I32,0)))</f>
        <v>148.11986946941886</v>
      </c>
      <c r="G32" s="41">
        <f ca="1">IF(OFFSET('Mnth to Qtr'!C$34,$I32,0)="","",AVERAGE(OFFSET('Mnth to Qtr'!C$34,$I32,0):OFFSET('Mnth to Qtr'!C$23,$I32,0)))</f>
        <v>208.20916666666668</v>
      </c>
      <c r="H32" s="41">
        <f ca="1">IF(OFFSET('Mnth to Qtr'!D$34,$I32,0)="","",AVERAGE(OFFSET('Mnth to Qtr'!D$34,$I32,0):OFFSET('Mnth to Qtr'!D$23,$I32,0)))</f>
        <v>251.25166666666669</v>
      </c>
      <c r="I32" s="73">
        <f t="shared" si="3"/>
        <v>216</v>
      </c>
      <c r="K32" s="74">
        <v>147</v>
      </c>
      <c r="L32" s="4">
        <v>149</v>
      </c>
      <c r="M32" s="41">
        <f t="shared" si="2"/>
        <v>148</v>
      </c>
      <c r="N32" s="75" t="s">
        <v>156</v>
      </c>
      <c r="O32" s="4" t="s">
        <v>157</v>
      </c>
    </row>
    <row r="33" spans="1:15">
      <c r="A33" s="1">
        <v>2016</v>
      </c>
      <c r="B33" s="69">
        <v>30578.2</v>
      </c>
      <c r="C33" s="70">
        <f t="shared" si="0"/>
        <v>824.80002092994357</v>
      </c>
      <c r="D33" s="71">
        <v>25220.9</v>
      </c>
      <c r="E33" s="72">
        <v>55.597558594366554</v>
      </c>
      <c r="F33" s="41">
        <f ca="1">IF(OFFSET('Mnth to Qtr'!B$34,$I33,0)=0,"",AVERAGE(OFFSET('Mnth to Qtr'!B$34,$I33,0):OFFSET('Mnth to Qtr'!B$23,$I33,0)))</f>
        <v>120.85118722037946</v>
      </c>
      <c r="G33" s="41">
        <f ca="1">IF(OFFSET('Mnth to Qtr'!C$34,$I33,0)="","",AVERAGE(OFFSET('Mnth to Qtr'!C$34,$I33,0):OFFSET('Mnth to Qtr'!C$23,$I33,0)))</f>
        <v>145.6141666666667</v>
      </c>
      <c r="H33" s="41">
        <f ca="1">IF(OFFSET('Mnth to Qtr'!D$34,$I33,0)="","",AVERAGE(OFFSET('Mnth to Qtr'!D$34,$I33,0):OFFSET('Mnth to Qtr'!D$23,$I33,0)))</f>
        <v>166.28666666666666</v>
      </c>
      <c r="I33" s="73">
        <f t="shared" si="3"/>
        <v>228</v>
      </c>
      <c r="J33" s="73"/>
      <c r="K33" s="74">
        <v>120</v>
      </c>
      <c r="L33" s="4">
        <v>121</v>
      </c>
      <c r="M33" s="41">
        <f t="shared" si="2"/>
        <v>120.5</v>
      </c>
      <c r="N33" s="75" t="s">
        <v>124</v>
      </c>
      <c r="O33" s="4" t="s">
        <v>136</v>
      </c>
    </row>
    <row r="34" spans="1:15">
      <c r="A34" s="1">
        <v>2017</v>
      </c>
      <c r="B34" s="69">
        <v>32189.4</v>
      </c>
      <c r="C34" s="70">
        <f t="shared" ref="C34:C40" si="4">IF(B34=" ",0,D34/B34*1000)</f>
        <v>813.53799698037233</v>
      </c>
      <c r="D34" s="71">
        <v>26187.3</v>
      </c>
      <c r="E34" s="72">
        <v>57.031939627351946</v>
      </c>
      <c r="F34" s="41">
        <f ca="1">IF(OFFSET('Mnth to Qtr'!B$34,$I34,0)=0,"",AVERAGE(OFFSET('Mnth to Qtr'!B$34,$I34,0):OFFSET('Mnth to Qtr'!B$23,$I34,0)))</f>
        <v>121.51628167839874</v>
      </c>
      <c r="G34" s="41">
        <f ca="1">IF(OFFSET('Mnth to Qtr'!C$34,$I34,0)="","",AVERAGE(OFFSET('Mnth to Qtr'!C$34,$I34,0):OFFSET('Mnth to Qtr'!C$23,$I34,0)))</f>
        <v>148.16833333333332</v>
      </c>
      <c r="H34" s="41">
        <f ca="1">IF(OFFSET('Mnth to Qtr'!D$34,$I34,0)="","",AVERAGE(OFFSET('Mnth to Qtr'!D$34,$I34,0):OFFSET('Mnth to Qtr'!D$23,$I34,0)))</f>
        <v>166</v>
      </c>
      <c r="I34" s="73">
        <f t="shared" si="3"/>
        <v>240</v>
      </c>
      <c r="K34" s="74">
        <v>121</v>
      </c>
      <c r="L34" s="4">
        <v>122</v>
      </c>
      <c r="M34" s="41">
        <f t="shared" ref="M34:M42" si="5">IF(K34="","",(K34+L34)/2)</f>
        <v>121.5</v>
      </c>
      <c r="N34" s="75" t="s">
        <v>114</v>
      </c>
      <c r="O34" s="4" t="s">
        <v>167</v>
      </c>
    </row>
    <row r="35" spans="1:15">
      <c r="A35" s="1">
        <v>2018</v>
      </c>
      <c r="B35" s="69">
        <v>33004.699999999997</v>
      </c>
      <c r="C35" s="70">
        <f t="shared" si="4"/>
        <v>814.19918981235992</v>
      </c>
      <c r="D35" s="71">
        <v>26872.399999999994</v>
      </c>
      <c r="E35" s="72">
        <v>57.309180075238913</v>
      </c>
      <c r="F35" s="41">
        <f ca="1">IF(OFFSET('Mnth to Qtr'!B$34,$I35,0)=0,"",AVERAGE(OFFSET('Mnth to Qtr'!B$34,$I35,0):OFFSET('Mnth to Qtr'!B$23,$I35,0)))</f>
        <v>117.11666666666666</v>
      </c>
      <c r="G35" s="41">
        <f ca="1">IF(OFFSET('Mnth to Qtr'!C$34,$I35,0)="","",AVERAGE(OFFSET('Mnth to Qtr'!C$34,$I35,0):OFFSET('Mnth to Qtr'!C$23,$I35,0)))</f>
        <v>149.99916666666667</v>
      </c>
      <c r="H35" s="41">
        <f ca="1">IF(OFFSET('Mnth to Qtr'!D$34,$I35,0)="","",AVERAGE(OFFSET('Mnth to Qtr'!D$34,$I35,0):OFFSET('Mnth to Qtr'!D$23,$I35,0)))</f>
        <v>171.38833333333332</v>
      </c>
      <c r="I35" s="73">
        <f t="shared" si="3"/>
        <v>252</v>
      </c>
      <c r="K35" s="74">
        <v>116</v>
      </c>
      <c r="L35" s="4">
        <v>118</v>
      </c>
      <c r="M35" s="41">
        <f t="shared" si="5"/>
        <v>117</v>
      </c>
      <c r="N35" s="75" t="s">
        <v>171</v>
      </c>
      <c r="O35" s="4" t="s">
        <v>138</v>
      </c>
    </row>
    <row r="36" spans="1:15">
      <c r="A36" s="1">
        <v>2019</v>
      </c>
      <c r="B36" s="69">
        <v>33555.299999999996</v>
      </c>
      <c r="C36" s="70">
        <f t="shared" si="4"/>
        <v>809.2492095138474</v>
      </c>
      <c r="D36" s="71">
        <v>27154.6</v>
      </c>
      <c r="E36" s="72">
        <v>58.119930150602016</v>
      </c>
      <c r="F36" s="41">
        <f ca="1">IF(OFFSET('Mnth to Qtr'!B$34,$I36,0)=0,"",AVERAGE(OFFSET('Mnth to Qtr'!B$34,$I36,0):OFFSET('Mnth to Qtr'!B$23,$I36,0)))</f>
        <v>116.77666666666666</v>
      </c>
      <c r="G36" s="41">
        <f ca="1">IF(OFFSET('Mnth to Qtr'!C$34,$I36,0)="","",AVERAGE(OFFSET('Mnth to Qtr'!C$34,$I36,0):OFFSET('Mnth to Qtr'!C$23,$I36,0)))</f>
        <v>144.66999999999999</v>
      </c>
      <c r="H36" s="41">
        <f ca="1">IF(OFFSET('Mnth to Qtr'!D$34,$I36,0)="","",AVERAGE(OFFSET('Mnth to Qtr'!D$34,$I36,0):OFFSET('Mnth to Qtr'!D$23,$I36,0)))</f>
        <v>163.4025</v>
      </c>
      <c r="I36" s="73">
        <f t="shared" si="3"/>
        <v>264</v>
      </c>
      <c r="K36" s="74">
        <v>112</v>
      </c>
      <c r="L36" s="74">
        <v>114</v>
      </c>
      <c r="M36" s="41">
        <f t="shared" si="5"/>
        <v>113</v>
      </c>
      <c r="N36" s="75" t="s">
        <v>112</v>
      </c>
      <c r="O36" s="4" t="s">
        <v>175</v>
      </c>
    </row>
    <row r="37" spans="1:15">
      <c r="A37" s="1">
        <v>2020</v>
      </c>
      <c r="B37" s="69">
        <v>32785.700000000004</v>
      </c>
      <c r="C37" s="70">
        <f t="shared" si="4"/>
        <v>828.82781212540829</v>
      </c>
      <c r="D37" s="71">
        <v>27173.7</v>
      </c>
      <c r="E37" s="72">
        <v>58.366187370565726</v>
      </c>
      <c r="F37" s="41">
        <f ca="1">IF(OFFSET('Mnth to Qtr'!B$34,$I37,0)=0,"",AVERAGE(OFFSET('Mnth to Qtr'!B$34,$I37,0):OFFSET('Mnth to Qtr'!B$23,$I37,0)))</f>
        <v>108.50916666666666</v>
      </c>
      <c r="G37" s="41">
        <f ca="1">IF(OFFSET('Mnth to Qtr'!C$34,$I37,0)="","",AVERAGE(OFFSET('Mnth to Qtr'!C$34,$I37,0):OFFSET('Mnth to Qtr'!C$23,$I37,0)))</f>
        <v>137.09416666666667</v>
      </c>
      <c r="H37" s="41">
        <f ca="1">IF(OFFSET('Mnth to Qtr'!D$34,$I37,0)="","",AVERAGE(OFFSET('Mnth to Qtr'!D$34,$I37,0):OFFSET('Mnth to Qtr'!D$23,$I37,0)))</f>
        <v>157.73583333333332</v>
      </c>
      <c r="I37" s="73">
        <f t="shared" si="3"/>
        <v>276</v>
      </c>
      <c r="K37" s="74">
        <v>108</v>
      </c>
      <c r="L37" s="74">
        <v>110</v>
      </c>
      <c r="M37" s="41">
        <f t="shared" si="5"/>
        <v>109</v>
      </c>
      <c r="N37" s="74" t="s">
        <v>179</v>
      </c>
      <c r="O37" s="74" t="s">
        <v>161</v>
      </c>
    </row>
    <row r="38" spans="1:15">
      <c r="A38" s="1">
        <v>2021</v>
      </c>
      <c r="B38" s="69">
        <v>33850.39990234375</v>
      </c>
      <c r="C38" s="70">
        <f t="shared" si="4"/>
        <v>825.63870075217073</v>
      </c>
      <c r="D38" s="71">
        <v>27948.2001953125</v>
      </c>
      <c r="E38" s="72">
        <v>58.864966959446932</v>
      </c>
      <c r="F38" s="41">
        <f ca="1">IF(OFFSET('Mnth to Qtr'!B$34,$I38,0)=0,"",AVERAGE(OFFSET('Mnth to Qtr'!B$34,$I38,0):OFFSET('Mnth to Qtr'!B$23,$I38,0)))</f>
        <v>122.40249999999999</v>
      </c>
      <c r="G38" s="41">
        <f ca="1">IF(OFFSET('Mnth to Qtr'!C$34,$I38,0)="","",AVERAGE(OFFSET('Mnth to Qtr'!C$34,$I38,0):OFFSET('Mnth to Qtr'!C$23,$I38,0)))</f>
        <v>148.32000000000002</v>
      </c>
      <c r="H38" s="41">
        <f ca="1">IF(OFFSET('Mnth to Qtr'!D$34,$I38,0)="","",AVERAGE(OFFSET('Mnth to Qtr'!D$34,$I38,0):OFFSET('Mnth to Qtr'!D$23,$I38,0)))</f>
        <v>168.5008333333333</v>
      </c>
      <c r="I38" s="73">
        <f t="shared" si="3"/>
        <v>288</v>
      </c>
      <c r="K38" s="155">
        <v>121</v>
      </c>
      <c r="L38" s="156">
        <v>122</v>
      </c>
      <c r="M38" s="41">
        <f t="shared" si="5"/>
        <v>121.5</v>
      </c>
      <c r="N38" s="156" t="s">
        <v>114</v>
      </c>
      <c r="O38" s="156" t="s">
        <v>166</v>
      </c>
    </row>
    <row r="39" spans="1:15">
      <c r="A39" s="1">
        <v>2022</v>
      </c>
      <c r="B39" s="69">
        <v>34325.400390625</v>
      </c>
      <c r="C39" s="70">
        <f t="shared" si="4"/>
        <v>824.19140430183211</v>
      </c>
      <c r="D39" s="71">
        <v>28290.699951171875</v>
      </c>
      <c r="E39" s="72">
        <v>58.871593274321775</v>
      </c>
      <c r="F39" s="41">
        <f ca="1">IF(OFFSET('Mnth to Qtr'!B$34,$I39,0)=0,"",AVERAGE(OFFSET('Mnth to Qtr'!B$34,$I39,0):OFFSET('Mnth to Qtr'!B$23,$I39,0)))</f>
        <v>144.39916666666664</v>
      </c>
      <c r="G39" s="41">
        <f ca="1">IF(OFFSET('Mnth to Qtr'!C$34,$I39,0)="","",AVERAGE(OFFSET('Mnth to Qtr'!C$34,$I39,0):OFFSET('Mnth to Qtr'!C$23,$I39,0)))</f>
        <v>168.89000000000001</v>
      </c>
      <c r="H39" s="41">
        <f ca="1">IF(OFFSET('Mnth to Qtr'!D$34,$I39,0)="","",AVERAGE(OFFSET('Mnth to Qtr'!D$34,$I39,0):OFFSET('Mnth to Qtr'!D$23,$I39,0)))</f>
        <v>191.4025</v>
      </c>
      <c r="I39" s="73">
        <f t="shared" si="3"/>
        <v>300</v>
      </c>
      <c r="K39" s="158">
        <v>143</v>
      </c>
      <c r="L39" s="157">
        <v>144</v>
      </c>
      <c r="M39" s="41">
        <f t="shared" si="5"/>
        <v>143.5</v>
      </c>
      <c r="N39" s="159" t="s">
        <v>188</v>
      </c>
      <c r="O39" s="157" t="s">
        <v>186</v>
      </c>
    </row>
    <row r="40" spans="1:15">
      <c r="A40" s="1">
        <v>2023</v>
      </c>
      <c r="B40" s="69">
        <v>32843.69970703125</v>
      </c>
      <c r="C40" s="70">
        <f t="shared" si="4"/>
        <v>821.07377007906632</v>
      </c>
      <c r="D40" s="71">
        <v>26967.100341796875</v>
      </c>
      <c r="E40" s="72">
        <v>57.758146207563527</v>
      </c>
      <c r="F40" s="41">
        <f ca="1">IF(OFFSET('Mnth to Qtr'!B$34,$I40,0)=0,"",AVERAGE(OFFSET('Mnth to Qtr'!B$34,$I40,0):OFFSET('Mnth to Qtr'!B$23,$I40,0)))</f>
        <v>175.53416666666666</v>
      </c>
      <c r="G40" s="41">
        <f ca="1">IF(OFFSET('Mnth to Qtr'!C$34,$I40,0)="","",AVERAGE(OFFSET('Mnth to Qtr'!C$34,$I40,0):OFFSET('Mnth to Qtr'!C$23,$I40,0)))</f>
        <v>221.88</v>
      </c>
      <c r="H40" s="41">
        <f ca="1">IF(OFFSET('Mnth to Qtr'!D$34,$I40,0)="","",AVERAGE(OFFSET('Mnth to Qtr'!D$34,$I40,0):OFFSET('Mnth to Qtr'!D$23,$I40,0)))</f>
        <v>259.46333333333337</v>
      </c>
      <c r="I40" s="73">
        <f t="shared" si="3"/>
        <v>312</v>
      </c>
      <c r="K40" s="153">
        <v>175</v>
      </c>
      <c r="L40" s="162">
        <v>177</v>
      </c>
      <c r="M40" s="41">
        <f t="shared" si="5"/>
        <v>176</v>
      </c>
      <c r="N40" s="153" t="s">
        <v>211</v>
      </c>
      <c r="O40" s="153" t="s">
        <v>204</v>
      </c>
    </row>
    <row r="41" spans="1:15">
      <c r="A41" s="1">
        <v>2024</v>
      </c>
      <c r="B41" s="69"/>
      <c r="C41" s="70"/>
      <c r="D41" s="71"/>
      <c r="E41" s="72">
        <v>56.785395641851466</v>
      </c>
      <c r="F41" s="41" t="str">
        <f ca="1">IF(OFFSET('Mnth to Qtr'!B$34,$I41,0)=0,"",AVERAGE(OFFSET('Mnth to Qtr'!B$34,$I41,0):OFFSET('Mnth to Qtr'!B$23,$I41,0)))</f>
        <v/>
      </c>
      <c r="G41" s="41" t="str">
        <f ca="1">IF(OFFSET('Mnth to Qtr'!C$34,$I41,0)="","",AVERAGE(OFFSET('Mnth to Qtr'!C$34,$I41,0):OFFSET('Mnth to Qtr'!C$23,$I41,0)))</f>
        <v/>
      </c>
      <c r="H41" s="41" t="str">
        <f ca="1">IF(OFFSET('Mnth to Qtr'!D$34,$I41,0)="","",AVERAGE(OFFSET('Mnth to Qtr'!D$34,$I41,0):OFFSET('Mnth to Qtr'!D$23,$I41,0)))</f>
        <v/>
      </c>
      <c r="I41" s="73">
        <f t="shared" si="3"/>
        <v>324</v>
      </c>
      <c r="K41" s="76">
        <v>190</v>
      </c>
      <c r="L41" s="76">
        <v>193</v>
      </c>
      <c r="M41" s="41">
        <f t="shared" si="5"/>
        <v>191.5</v>
      </c>
      <c r="N41" s="172" t="s">
        <v>213</v>
      </c>
      <c r="O41" s="172" t="s">
        <v>220</v>
      </c>
    </row>
    <row r="42" spans="1:15">
      <c r="A42" s="58">
        <v>2025</v>
      </c>
      <c r="E42" s="72">
        <v>54.569992773737034</v>
      </c>
      <c r="K42" s="46">
        <v>208</v>
      </c>
      <c r="L42" s="46">
        <v>212</v>
      </c>
      <c r="M42" s="41">
        <f t="shared" si="5"/>
        <v>210</v>
      </c>
      <c r="N42" s="172" t="s">
        <v>215</v>
      </c>
      <c r="O42" s="172" t="s">
        <v>221</v>
      </c>
    </row>
    <row r="43" spans="1:15">
      <c r="A43" s="58"/>
      <c r="K43" s="37"/>
      <c r="L43" s="37"/>
      <c r="M43" s="36"/>
      <c r="N43" s="36"/>
      <c r="O43" s="36"/>
    </row>
    <row r="44" spans="1:15">
      <c r="A44" s="58"/>
      <c r="K44" s="37"/>
      <c r="L44" s="37"/>
      <c r="M44" s="36"/>
      <c r="N44" s="36"/>
      <c r="O44" s="36"/>
    </row>
    <row r="45" spans="1:15">
      <c r="A45" s="58"/>
      <c r="K45" s="37"/>
      <c r="L45" s="37"/>
      <c r="M45" s="77"/>
      <c r="N45" s="36"/>
      <c r="O45" s="153"/>
    </row>
    <row r="46" spans="1:15">
      <c r="A46" s="58"/>
      <c r="K46" s="37"/>
      <c r="L46" s="37"/>
      <c r="M46" s="37"/>
      <c r="N46" s="36"/>
      <c r="O46" s="38"/>
    </row>
    <row r="47" spans="1:15">
      <c r="A47" s="58"/>
      <c r="K47" s="37"/>
      <c r="L47" s="37"/>
      <c r="M47" s="37"/>
      <c r="N47" s="36"/>
      <c r="O47" s="36"/>
    </row>
    <row r="48" spans="1:15">
      <c r="A48" s="58"/>
      <c r="K48" s="37"/>
      <c r="L48" s="37"/>
      <c r="M48" s="37"/>
      <c r="N48" s="36"/>
      <c r="O48" s="36"/>
    </row>
    <row r="49" spans="1:15">
      <c r="A49" s="58"/>
      <c r="K49" s="37"/>
      <c r="L49" s="37"/>
      <c r="M49" s="37"/>
      <c r="N49" s="36"/>
      <c r="O49" s="36"/>
    </row>
    <row r="50" spans="1:15">
      <c r="A50" s="58"/>
      <c r="K50" s="37"/>
      <c r="L50" s="37"/>
      <c r="M50" s="37"/>
      <c r="N50" s="37"/>
      <c r="O50" s="38"/>
    </row>
    <row r="51" spans="1:15">
      <c r="A51" s="58"/>
      <c r="K51" s="37"/>
      <c r="L51" s="37"/>
      <c r="M51" s="37"/>
      <c r="N51" s="36"/>
      <c r="O51" s="36"/>
    </row>
    <row r="52" spans="1:15">
      <c r="A52" s="58"/>
      <c r="K52" s="37"/>
      <c r="L52" s="37"/>
      <c r="M52" s="37"/>
      <c r="N52" s="36"/>
      <c r="O52" s="36"/>
    </row>
    <row r="53" spans="1:15">
      <c r="A53" s="58"/>
      <c r="K53" s="37"/>
      <c r="L53" s="37"/>
      <c r="M53" s="37"/>
      <c r="N53" s="36"/>
      <c r="O53" s="36"/>
    </row>
    <row r="54" spans="1:15">
      <c r="A54" s="58"/>
      <c r="K54" s="37"/>
      <c r="L54" s="37"/>
      <c r="M54" s="37"/>
      <c r="N54" s="37"/>
      <c r="O54" s="38"/>
    </row>
    <row r="55" spans="1:15">
      <c r="A55" s="58"/>
      <c r="K55" s="37"/>
      <c r="L55" s="37"/>
      <c r="M55" s="37" t="str">
        <f t="shared" ref="M55:M67" si="6">IF(K55="","",(K55+L55)/2)</f>
        <v/>
      </c>
      <c r="N55" s="36"/>
      <c r="O55" s="36"/>
    </row>
    <row r="56" spans="1:15">
      <c r="A56" s="58"/>
      <c r="K56" s="37"/>
      <c r="L56" s="37"/>
      <c r="M56" s="37" t="str">
        <f t="shared" si="6"/>
        <v/>
      </c>
      <c r="N56" s="36"/>
      <c r="O56" s="36"/>
    </row>
    <row r="57" spans="1:15">
      <c r="A57" s="58"/>
      <c r="K57" s="37"/>
      <c r="L57" s="37"/>
      <c r="M57" s="37" t="str">
        <f t="shared" si="6"/>
        <v/>
      </c>
      <c r="N57" s="36"/>
      <c r="O57" s="36"/>
    </row>
    <row r="58" spans="1:15">
      <c r="A58" s="58"/>
      <c r="K58" s="37"/>
      <c r="L58" s="37"/>
      <c r="M58" s="37" t="str">
        <f t="shared" si="6"/>
        <v/>
      </c>
      <c r="N58" s="36"/>
      <c r="O58" s="36"/>
    </row>
    <row r="59" spans="1:15">
      <c r="A59" s="58"/>
      <c r="K59" s="37"/>
      <c r="L59" s="37"/>
      <c r="M59" s="37" t="str">
        <f t="shared" si="6"/>
        <v/>
      </c>
      <c r="N59" s="36"/>
      <c r="O59" s="36"/>
    </row>
    <row r="60" spans="1:15">
      <c r="A60" s="58"/>
      <c r="K60" s="37"/>
      <c r="L60" s="37"/>
      <c r="M60" s="37" t="str">
        <f t="shared" si="6"/>
        <v/>
      </c>
      <c r="N60" s="36"/>
      <c r="O60" s="36"/>
    </row>
    <row r="61" spans="1:15">
      <c r="A61" s="58"/>
      <c r="K61" s="37"/>
      <c r="L61" s="37"/>
      <c r="M61" s="37" t="str">
        <f t="shared" si="6"/>
        <v/>
      </c>
      <c r="N61" s="36"/>
      <c r="O61" s="36"/>
    </row>
    <row r="62" spans="1:15">
      <c r="A62" s="58"/>
      <c r="K62" s="37"/>
      <c r="L62" s="37"/>
      <c r="M62" s="37" t="str">
        <f t="shared" si="6"/>
        <v/>
      </c>
      <c r="N62" s="36"/>
      <c r="O62" s="36"/>
    </row>
    <row r="63" spans="1:15">
      <c r="A63" s="58"/>
      <c r="K63" s="37"/>
      <c r="L63" s="37"/>
      <c r="M63" s="37" t="str">
        <f t="shared" si="6"/>
        <v/>
      </c>
      <c r="N63" s="36"/>
      <c r="O63" s="36"/>
    </row>
    <row r="64" spans="1:15">
      <c r="A64" s="58"/>
      <c r="K64" s="37"/>
      <c r="L64" s="37"/>
      <c r="M64" s="37" t="str">
        <f t="shared" si="6"/>
        <v/>
      </c>
      <c r="N64" s="36"/>
      <c r="O64" s="36"/>
    </row>
    <row r="65" spans="1:15">
      <c r="A65" s="58"/>
      <c r="K65" s="37"/>
      <c r="L65" s="37"/>
      <c r="M65" s="37" t="str">
        <f t="shared" si="6"/>
        <v/>
      </c>
      <c r="N65" s="36"/>
      <c r="O65" s="36"/>
    </row>
    <row r="66" spans="1:15">
      <c r="A66" s="58"/>
      <c r="K66" s="37"/>
      <c r="L66" s="37"/>
      <c r="M66" s="37" t="str">
        <f t="shared" si="6"/>
        <v/>
      </c>
      <c r="N66" s="36"/>
      <c r="O66" s="36"/>
    </row>
    <row r="67" spans="1:15">
      <c r="A67" s="58"/>
      <c r="K67" s="37"/>
      <c r="L67" s="37"/>
      <c r="M67" s="37" t="str">
        <f t="shared" si="6"/>
        <v/>
      </c>
      <c r="N67" s="36"/>
      <c r="O67" s="36"/>
    </row>
    <row r="68" spans="1:15">
      <c r="A68" s="58"/>
      <c r="K68" s="37"/>
      <c r="L68" s="37"/>
      <c r="M68" s="77"/>
      <c r="N68" s="36"/>
      <c r="O68" s="36"/>
    </row>
    <row r="69" spans="1:15">
      <c r="A69" s="58"/>
      <c r="K69" s="37"/>
      <c r="L69" s="37"/>
      <c r="M69" s="77"/>
      <c r="N69" s="36"/>
      <c r="O69" s="36"/>
    </row>
    <row r="70" spans="1:15">
      <c r="A70" s="58"/>
      <c r="K70" s="37"/>
      <c r="L70" s="37"/>
      <c r="M70" s="77"/>
      <c r="N70" s="36"/>
      <c r="O70" s="36"/>
    </row>
    <row r="71" spans="1:15">
      <c r="A71" s="58"/>
      <c r="K71" s="37"/>
      <c r="L71" s="37"/>
      <c r="M71" s="77"/>
      <c r="N71" s="36"/>
      <c r="O71" s="36"/>
    </row>
    <row r="72" spans="1:15">
      <c r="A72" s="58"/>
      <c r="K72" s="37"/>
      <c r="L72" s="37"/>
      <c r="M72" s="77"/>
      <c r="N72" s="36"/>
      <c r="O72" s="36"/>
    </row>
    <row r="73" spans="1:15">
      <c r="A73" s="58"/>
      <c r="K73" s="37"/>
      <c r="L73" s="37"/>
      <c r="M73" s="77"/>
      <c r="N73" s="36"/>
      <c r="O73" s="36"/>
    </row>
    <row r="74" spans="1:15">
      <c r="A74" s="58"/>
      <c r="K74" s="37"/>
      <c r="L74" s="37"/>
      <c r="M74" s="77"/>
      <c r="N74" s="36"/>
      <c r="O74" s="36"/>
    </row>
    <row r="75" spans="1:15">
      <c r="A75" s="58"/>
      <c r="K75" s="46"/>
      <c r="L75" s="46"/>
      <c r="M75" s="78"/>
    </row>
    <row r="76" spans="1:15">
      <c r="K76" s="46"/>
      <c r="L76" s="46"/>
      <c r="M76" s="78"/>
    </row>
    <row r="77" spans="1:15">
      <c r="K77" s="46"/>
      <c r="L77" s="46"/>
      <c r="M77" s="78"/>
    </row>
    <row r="78" spans="1:15">
      <c r="K78" s="76"/>
      <c r="L78" s="76"/>
      <c r="M78" s="78"/>
    </row>
    <row r="79" spans="1:15">
      <c r="K79" s="46"/>
      <c r="L79" s="46"/>
      <c r="M79" s="78"/>
    </row>
    <row r="80" spans="1:15">
      <c r="K80" s="46"/>
      <c r="L80" s="46"/>
      <c r="M80" s="78"/>
    </row>
    <row r="81" spans="11:13">
      <c r="K81" s="46"/>
      <c r="L81" s="46"/>
      <c r="M81" s="78"/>
    </row>
    <row r="82" spans="11:13">
      <c r="K82" s="46"/>
      <c r="L82" s="46"/>
      <c r="M82" s="78"/>
    </row>
    <row r="83" spans="11:13">
      <c r="K83" s="46"/>
      <c r="L83" s="46"/>
      <c r="M83" s="78"/>
    </row>
    <row r="84" spans="11:13">
      <c r="K84" s="46"/>
      <c r="L84" s="46"/>
      <c r="M84" s="78"/>
    </row>
    <row r="85" spans="11:13">
      <c r="K85" s="46"/>
      <c r="L85" s="46"/>
      <c r="M85" s="78"/>
    </row>
    <row r="86" spans="11:13">
      <c r="K86" s="46"/>
      <c r="L86" s="46"/>
      <c r="M86" s="78"/>
    </row>
    <row r="87" spans="11:13">
      <c r="K87" s="46"/>
      <c r="L87" s="46"/>
      <c r="M87" s="78"/>
    </row>
    <row r="88" spans="11:13">
      <c r="K88" s="46"/>
      <c r="L88" s="46"/>
      <c r="M88" s="78"/>
    </row>
    <row r="89" spans="11:13">
      <c r="K89" s="46"/>
      <c r="L89" s="46"/>
      <c r="M89" s="78"/>
    </row>
    <row r="90" spans="11:13">
      <c r="K90" s="46"/>
      <c r="L90" s="46"/>
      <c r="M90" s="78"/>
    </row>
    <row r="91" spans="11:13">
      <c r="K91" s="46"/>
      <c r="L91" s="46"/>
      <c r="M91" s="78"/>
    </row>
    <row r="92" spans="11:13">
      <c r="K92" s="46"/>
      <c r="L92" s="46"/>
      <c r="M92" s="78"/>
    </row>
    <row r="93" spans="11:13">
      <c r="K93" s="46"/>
      <c r="L93" s="46"/>
      <c r="M93" s="78"/>
    </row>
    <row r="94" spans="11:13">
      <c r="K94" s="46"/>
      <c r="L94" s="46"/>
      <c r="M94" s="78"/>
    </row>
    <row r="95" spans="11:13">
      <c r="K95" s="46"/>
      <c r="L95" s="46"/>
      <c r="M95" s="78"/>
    </row>
    <row r="96" spans="11:13">
      <c r="K96" s="46"/>
      <c r="L96" s="46"/>
      <c r="M96" s="78"/>
    </row>
    <row r="97" spans="11:13">
      <c r="K97" s="46"/>
      <c r="L97" s="46"/>
      <c r="M97" s="78"/>
    </row>
    <row r="98" spans="11:13">
      <c r="K98" s="46"/>
      <c r="L98" s="46"/>
      <c r="M98" s="78"/>
    </row>
    <row r="99" spans="11:13">
      <c r="K99" s="46"/>
      <c r="L99" s="46"/>
      <c r="M99" s="78"/>
    </row>
    <row r="100" spans="11:13">
      <c r="K100" s="46"/>
      <c r="L100" s="46"/>
      <c r="M100" s="78"/>
    </row>
    <row r="101" spans="11:13">
      <c r="K101" s="46"/>
      <c r="L101" s="46"/>
      <c r="M101" s="78"/>
    </row>
    <row r="102" spans="11:13">
      <c r="K102" s="46"/>
      <c r="L102" s="46"/>
      <c r="M102" s="78"/>
    </row>
    <row r="103" spans="11:13">
      <c r="K103" s="46"/>
      <c r="L103" s="46"/>
      <c r="M103" s="78"/>
    </row>
    <row r="104" spans="11:13">
      <c r="K104" s="46"/>
      <c r="L104" s="46"/>
      <c r="M104" s="78"/>
    </row>
    <row r="105" spans="11:13">
      <c r="K105" s="46"/>
      <c r="L105" s="46"/>
      <c r="M105" s="78"/>
    </row>
    <row r="106" spans="11:13">
      <c r="K106" s="46"/>
      <c r="L106" s="46"/>
      <c r="M106" s="78"/>
    </row>
    <row r="107" spans="11:13">
      <c r="K107" s="46"/>
      <c r="L107" s="46"/>
      <c r="M107" s="78"/>
    </row>
    <row r="108" spans="11:13">
      <c r="K108" s="46"/>
      <c r="L108" s="46"/>
      <c r="M108" s="78"/>
    </row>
    <row r="109" spans="11:13">
      <c r="K109" s="46"/>
      <c r="L109" s="46"/>
      <c r="M109" s="78"/>
    </row>
    <row r="110" spans="11:13">
      <c r="K110" s="46"/>
      <c r="L110" s="46"/>
      <c r="M110" s="78"/>
    </row>
    <row r="111" spans="11:13">
      <c r="K111" s="46"/>
      <c r="L111" s="46"/>
      <c r="M111" s="78"/>
    </row>
    <row r="112" spans="11:13">
      <c r="K112" s="46"/>
      <c r="L112" s="46"/>
      <c r="M112" s="78"/>
    </row>
    <row r="113" spans="11:13">
      <c r="K113" s="46"/>
      <c r="L113" s="46"/>
      <c r="M113" s="78"/>
    </row>
    <row r="114" spans="11:13">
      <c r="K114" s="46"/>
      <c r="L114" s="46"/>
      <c r="M114" s="78"/>
    </row>
    <row r="115" spans="11:13">
      <c r="K115" s="46"/>
      <c r="L115" s="46"/>
      <c r="M115" s="78"/>
    </row>
    <row r="116" spans="11:13">
      <c r="K116" s="46"/>
      <c r="L116" s="46"/>
      <c r="M116" s="78"/>
    </row>
    <row r="117" spans="11:13">
      <c r="K117" s="46"/>
      <c r="L117" s="46"/>
      <c r="M117" s="78"/>
    </row>
    <row r="118" spans="11:13">
      <c r="K118" s="46"/>
      <c r="L118" s="46"/>
      <c r="M118" s="78"/>
    </row>
    <row r="119" spans="11:13">
      <c r="K119" s="46"/>
      <c r="L119" s="46"/>
      <c r="M119" s="78"/>
    </row>
    <row r="120" spans="11:13">
      <c r="K120" s="46"/>
      <c r="L120" s="46"/>
      <c r="M120" s="78"/>
    </row>
    <row r="121" spans="11:13">
      <c r="K121" s="46"/>
      <c r="L121" s="46"/>
      <c r="M121" s="78"/>
    </row>
    <row r="122" spans="11:13">
      <c r="K122" s="46"/>
      <c r="L122" s="46"/>
      <c r="M122" s="78"/>
    </row>
    <row r="123" spans="11:13">
      <c r="K123" s="46"/>
      <c r="L123" s="46"/>
      <c r="M123" s="78"/>
    </row>
    <row r="124" spans="11:13">
      <c r="K124" s="46"/>
      <c r="L124" s="46"/>
      <c r="M124" s="78"/>
    </row>
    <row r="125" spans="11:13">
      <c r="K125" s="46"/>
      <c r="L125" s="46"/>
      <c r="M125" s="78"/>
    </row>
    <row r="126" spans="11:13">
      <c r="K126" s="46"/>
      <c r="L126" s="46"/>
      <c r="M126" s="78"/>
    </row>
    <row r="127" spans="11:13">
      <c r="K127" s="46"/>
      <c r="L127" s="46"/>
      <c r="M127" s="78"/>
    </row>
    <row r="128" spans="11:13">
      <c r="K128" s="46"/>
      <c r="L128" s="46"/>
      <c r="M128" s="78"/>
    </row>
    <row r="129" spans="11:13">
      <c r="K129" s="46"/>
      <c r="L129" s="46"/>
      <c r="M129" s="78"/>
    </row>
    <row r="130" spans="11:13">
      <c r="K130" s="46"/>
      <c r="L130" s="46"/>
      <c r="M130" s="78"/>
    </row>
    <row r="131" spans="11:13">
      <c r="K131" s="46"/>
      <c r="L131" s="46"/>
      <c r="M131" s="78"/>
    </row>
    <row r="132" spans="11:13">
      <c r="K132" s="46"/>
      <c r="L132" s="46"/>
      <c r="M132" s="78"/>
    </row>
    <row r="133" spans="11:13">
      <c r="K133" s="46"/>
      <c r="L133" s="46"/>
      <c r="M133" s="78"/>
    </row>
    <row r="134" spans="11:13">
      <c r="K134" s="46"/>
      <c r="L134" s="46"/>
      <c r="M134" s="78"/>
    </row>
    <row r="135" spans="11:13">
      <c r="K135" s="46"/>
      <c r="L135" s="46"/>
      <c r="M135" s="78"/>
    </row>
    <row r="136" spans="11:13">
      <c r="K136" s="46"/>
      <c r="L136" s="46"/>
      <c r="M136" s="78"/>
    </row>
    <row r="137" spans="11:13">
      <c r="K137" s="46"/>
      <c r="L137" s="46"/>
      <c r="M137" s="78"/>
    </row>
    <row r="138" spans="11:13">
      <c r="K138" s="46"/>
      <c r="L138" s="46"/>
      <c r="M138" s="78"/>
    </row>
    <row r="139" spans="11:13">
      <c r="K139" s="46"/>
      <c r="L139" s="46"/>
      <c r="M139" s="78"/>
    </row>
    <row r="140" spans="11:13">
      <c r="K140" s="46"/>
      <c r="L140" s="46"/>
      <c r="M140" s="78"/>
    </row>
    <row r="141" spans="11:13">
      <c r="K141" s="46"/>
      <c r="L141" s="46"/>
      <c r="M141" s="78"/>
    </row>
    <row r="142" spans="11:13">
      <c r="K142" s="46"/>
      <c r="L142" s="46"/>
      <c r="M142" s="78"/>
    </row>
    <row r="143" spans="11:13">
      <c r="K143" s="46"/>
      <c r="L143" s="46"/>
      <c r="M143" s="78"/>
    </row>
    <row r="144" spans="11:13">
      <c r="K144" s="46"/>
      <c r="L144" s="46"/>
      <c r="M144" s="78"/>
    </row>
    <row r="145" spans="11:13">
      <c r="K145" s="46"/>
      <c r="L145" s="46"/>
      <c r="M145" s="78"/>
    </row>
    <row r="146" spans="11:13">
      <c r="K146" s="46"/>
      <c r="L146" s="46"/>
      <c r="M146" s="78"/>
    </row>
    <row r="147" spans="11:13">
      <c r="K147" s="46"/>
      <c r="L147" s="46"/>
      <c r="M147" s="78"/>
    </row>
    <row r="148" spans="11:13">
      <c r="K148" s="46"/>
      <c r="L148" s="46"/>
      <c r="M148" s="78"/>
    </row>
    <row r="149" spans="11:13">
      <c r="K149" s="46"/>
      <c r="L149" s="46"/>
      <c r="M149" s="78"/>
    </row>
    <row r="150" spans="11:13">
      <c r="K150" s="46"/>
      <c r="L150" s="46"/>
      <c r="M150" s="78"/>
    </row>
    <row r="151" spans="11:13">
      <c r="K151" s="46"/>
      <c r="L151" s="46"/>
      <c r="M151" s="78"/>
    </row>
    <row r="152" spans="11:13">
      <c r="K152" s="46"/>
      <c r="L152" s="46"/>
      <c r="M152" s="78"/>
    </row>
    <row r="153" spans="11:13">
      <c r="K153" s="46"/>
      <c r="L153" s="46"/>
      <c r="M153" s="78"/>
    </row>
    <row r="154" spans="11:13">
      <c r="K154" s="46"/>
      <c r="L154" s="46"/>
      <c r="M154" s="78"/>
    </row>
    <row r="155" spans="11:13">
      <c r="K155" s="46"/>
      <c r="L155" s="46"/>
      <c r="M155" s="78"/>
    </row>
    <row r="156" spans="11:13">
      <c r="K156" s="46"/>
      <c r="L156" s="46"/>
      <c r="M156" s="78"/>
    </row>
    <row r="157" spans="11:13">
      <c r="K157" s="46"/>
      <c r="L157" s="46"/>
      <c r="M157" s="78"/>
    </row>
    <row r="158" spans="11:13">
      <c r="K158" s="46"/>
      <c r="L158" s="46"/>
      <c r="M158" s="78"/>
    </row>
    <row r="159" spans="11:13">
      <c r="K159" s="46"/>
      <c r="L159" s="46"/>
      <c r="M159" s="78"/>
    </row>
    <row r="160" spans="11:13">
      <c r="K160" s="46"/>
      <c r="L160" s="46"/>
      <c r="M160" s="78"/>
    </row>
    <row r="161" spans="11:13">
      <c r="K161" s="46"/>
      <c r="L161" s="46"/>
      <c r="M161" s="78"/>
    </row>
    <row r="162" spans="11:13">
      <c r="K162" s="46"/>
      <c r="L162" s="46"/>
      <c r="M162" s="78"/>
    </row>
    <row r="163" spans="11:13">
      <c r="K163" s="46"/>
      <c r="L163" s="46"/>
      <c r="M163" s="78"/>
    </row>
    <row r="164" spans="11:13">
      <c r="K164" s="46"/>
      <c r="L164" s="46"/>
      <c r="M164" s="78"/>
    </row>
    <row r="165" spans="11:13">
      <c r="K165" s="46"/>
      <c r="L165" s="46"/>
      <c r="M165" s="78"/>
    </row>
    <row r="166" spans="11:13">
      <c r="K166" s="46"/>
      <c r="L166" s="46"/>
      <c r="M166" s="78"/>
    </row>
    <row r="167" spans="11:13">
      <c r="K167" s="46"/>
      <c r="L167" s="46"/>
      <c r="M167" s="78"/>
    </row>
    <row r="168" spans="11:13">
      <c r="K168" s="46"/>
      <c r="L168" s="46"/>
      <c r="M168" s="78"/>
    </row>
    <row r="169" spans="11:13">
      <c r="K169" s="46"/>
      <c r="L169" s="46"/>
      <c r="M169" s="78"/>
    </row>
    <row r="170" spans="11:13">
      <c r="K170" s="46"/>
      <c r="L170" s="46"/>
      <c r="M170" s="78"/>
    </row>
    <row r="171" spans="11:13">
      <c r="K171" s="46"/>
      <c r="L171" s="46"/>
      <c r="M171" s="78"/>
    </row>
    <row r="172" spans="11:13">
      <c r="K172" s="46"/>
      <c r="L172" s="46"/>
      <c r="M172" s="78"/>
    </row>
    <row r="173" spans="11:13">
      <c r="K173" s="46"/>
      <c r="L173" s="46"/>
      <c r="M173" s="78"/>
    </row>
    <row r="174" spans="11:13">
      <c r="K174" s="46"/>
      <c r="L174" s="46"/>
      <c r="M174" s="78"/>
    </row>
    <row r="175" spans="11:13">
      <c r="K175" s="46"/>
      <c r="L175" s="46"/>
      <c r="M175" s="78"/>
    </row>
    <row r="176" spans="11:13">
      <c r="K176" s="46"/>
      <c r="L176" s="46"/>
      <c r="M176" s="78"/>
    </row>
    <row r="177" spans="11:12">
      <c r="K177" s="46"/>
      <c r="L177" s="46"/>
    </row>
    <row r="178" spans="11:12">
      <c r="K178" s="46"/>
      <c r="L178" s="46"/>
    </row>
    <row r="179" spans="11:12">
      <c r="K179" s="46"/>
      <c r="L179" s="46"/>
    </row>
    <row r="180" spans="11:12">
      <c r="K180" s="46"/>
      <c r="L180" s="46"/>
    </row>
    <row r="181" spans="11:12">
      <c r="K181" s="46"/>
      <c r="L181" s="46"/>
    </row>
    <row r="182" spans="11:12">
      <c r="K182" s="46"/>
      <c r="L182" s="46"/>
    </row>
    <row r="183" spans="11:12">
      <c r="K183" s="46"/>
      <c r="L183" s="46"/>
    </row>
    <row r="184" spans="11:12">
      <c r="K184" s="46"/>
      <c r="L184" s="46"/>
    </row>
    <row r="185" spans="11:12">
      <c r="K185" s="46"/>
      <c r="L185" s="46"/>
    </row>
    <row r="186" spans="11:12">
      <c r="K186" s="46"/>
      <c r="L186" s="46"/>
    </row>
    <row r="187" spans="11:12">
      <c r="K187" s="46"/>
      <c r="L187" s="46"/>
    </row>
    <row r="188" spans="11:12">
      <c r="K188" s="46"/>
      <c r="L188" s="46"/>
    </row>
    <row r="189" spans="11:12">
      <c r="K189" s="46"/>
      <c r="L189" s="46"/>
    </row>
    <row r="190" spans="11:12">
      <c r="K190" s="46"/>
      <c r="L190" s="46"/>
    </row>
    <row r="191" spans="11:12">
      <c r="K191" s="46"/>
      <c r="L191" s="46"/>
    </row>
    <row r="192" spans="11:12">
      <c r="K192" s="46"/>
      <c r="L192" s="46"/>
    </row>
    <row r="193" spans="11:12">
      <c r="K193" s="46"/>
      <c r="L193" s="46"/>
    </row>
    <row r="194" spans="11:12">
      <c r="K194" s="46"/>
      <c r="L194" s="46"/>
    </row>
    <row r="195" spans="11:12">
      <c r="K195" s="46"/>
      <c r="L195" s="46"/>
    </row>
    <row r="196" spans="11:12">
      <c r="K196" s="46"/>
      <c r="L196" s="46"/>
    </row>
    <row r="197" spans="11:12">
      <c r="K197" s="46"/>
      <c r="L197" s="46"/>
    </row>
    <row r="198" spans="11:12">
      <c r="K198" s="46"/>
      <c r="L198" s="46"/>
    </row>
    <row r="199" spans="11:12">
      <c r="K199" s="46"/>
      <c r="L199" s="46"/>
    </row>
    <row r="200" spans="11:12">
      <c r="K200" s="46"/>
      <c r="L200" s="46"/>
    </row>
    <row r="201" spans="11:12">
      <c r="K201" s="46"/>
      <c r="L201" s="46"/>
    </row>
    <row r="202" spans="11:12">
      <c r="K202" s="46"/>
      <c r="L202" s="46"/>
    </row>
    <row r="203" spans="11:12">
      <c r="K203" s="46"/>
      <c r="L203" s="46"/>
    </row>
    <row r="204" spans="11:12">
      <c r="K204" s="46"/>
      <c r="L204" s="46"/>
    </row>
    <row r="205" spans="11:12">
      <c r="K205" s="46"/>
      <c r="L205" s="46"/>
    </row>
    <row r="206" spans="11:12">
      <c r="K206" s="46"/>
      <c r="L206" s="46"/>
    </row>
    <row r="207" spans="11:12">
      <c r="K207" s="46"/>
      <c r="L207" s="46"/>
    </row>
    <row r="208" spans="11:12">
      <c r="K208" s="46"/>
      <c r="L208" s="46"/>
    </row>
    <row r="209" spans="11:12">
      <c r="K209" s="46"/>
      <c r="L209" s="46"/>
    </row>
    <row r="210" spans="11:12">
      <c r="K210" s="46"/>
      <c r="L210" s="46"/>
    </row>
    <row r="211" spans="11:12">
      <c r="K211" s="46"/>
      <c r="L211" s="46"/>
    </row>
    <row r="212" spans="11:12">
      <c r="K212" s="46"/>
      <c r="L212" s="46"/>
    </row>
    <row r="213" spans="11:12">
      <c r="K213" s="46"/>
      <c r="L213" s="46"/>
    </row>
    <row r="214" spans="11:12">
      <c r="K214" s="46"/>
      <c r="L214" s="46"/>
    </row>
    <row r="215" spans="11:12">
      <c r="K215" s="46"/>
      <c r="L215" s="46"/>
    </row>
    <row r="216" spans="11:12">
      <c r="K216" s="46"/>
      <c r="L216" s="46"/>
    </row>
    <row r="217" spans="11:12">
      <c r="K217" s="46"/>
      <c r="L217" s="46"/>
    </row>
    <row r="218" spans="11:12">
      <c r="K218" s="46"/>
      <c r="L218" s="46"/>
    </row>
    <row r="219" spans="11:12">
      <c r="K219" s="46"/>
      <c r="L219" s="46"/>
    </row>
    <row r="220" spans="11:12">
      <c r="K220" s="46"/>
      <c r="L220" s="46"/>
    </row>
    <row r="221" spans="11:12">
      <c r="K221" s="46"/>
      <c r="L221" s="46"/>
    </row>
    <row r="222" spans="11:12">
      <c r="K222" s="46"/>
      <c r="L222" s="46"/>
    </row>
    <row r="223" spans="11:12">
      <c r="K223" s="46"/>
      <c r="L223" s="46"/>
    </row>
    <row r="224" spans="11:12">
      <c r="K224" s="46"/>
      <c r="L224" s="46"/>
    </row>
    <row r="225" spans="11:12">
      <c r="K225" s="46"/>
      <c r="L225" s="46"/>
    </row>
    <row r="226" spans="11:12">
      <c r="K226" s="46"/>
      <c r="L226" s="46"/>
    </row>
    <row r="227" spans="11:12">
      <c r="K227" s="46"/>
      <c r="L227" s="46"/>
    </row>
    <row r="228" spans="11:12">
      <c r="K228" s="46"/>
      <c r="L228" s="46"/>
    </row>
    <row r="229" spans="11:12">
      <c r="K229" s="46"/>
      <c r="L229" s="46"/>
    </row>
    <row r="230" spans="11:12">
      <c r="K230" s="46"/>
      <c r="L230" s="46"/>
    </row>
    <row r="231" spans="11:12">
      <c r="K231" s="46"/>
      <c r="L231" s="46"/>
    </row>
    <row r="232" spans="11:12">
      <c r="K232" s="46"/>
      <c r="L232" s="46"/>
    </row>
    <row r="233" spans="11:12">
      <c r="K233" s="46"/>
      <c r="L233" s="46"/>
    </row>
    <row r="234" spans="11:12">
      <c r="K234" s="46"/>
      <c r="L234" s="46"/>
    </row>
    <row r="235" spans="11:12">
      <c r="K235" s="46"/>
      <c r="L235" s="46"/>
    </row>
    <row r="236" spans="11:12">
      <c r="K236" s="46"/>
      <c r="L236" s="46"/>
    </row>
    <row r="237" spans="11:12">
      <c r="K237" s="46"/>
      <c r="L237" s="46"/>
    </row>
    <row r="238" spans="11:12">
      <c r="K238" s="46"/>
      <c r="L238" s="46"/>
    </row>
    <row r="239" spans="11:12">
      <c r="K239" s="46"/>
      <c r="L239" s="46"/>
    </row>
    <row r="240" spans="11:12">
      <c r="K240" s="46"/>
      <c r="L240" s="46"/>
    </row>
    <row r="241" spans="11:12">
      <c r="K241" s="46"/>
      <c r="L241" s="46"/>
    </row>
    <row r="242" spans="11:12">
      <c r="K242" s="46"/>
      <c r="L242" s="46"/>
    </row>
    <row r="243" spans="11:12">
      <c r="K243" s="46"/>
      <c r="L243" s="46"/>
    </row>
    <row r="244" spans="11:12">
      <c r="K244" s="46"/>
      <c r="L244" s="46"/>
    </row>
    <row r="245" spans="11:12">
      <c r="K245" s="46"/>
      <c r="L245" s="46"/>
    </row>
    <row r="246" spans="11:12">
      <c r="K246" s="46"/>
      <c r="L246" s="46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56"/>
  <sheetViews>
    <sheetView showGridLines="0" tabSelected="1" zoomScaleNormal="100" workbookViewId="0">
      <pane xSplit="2" ySplit="8" topLeftCell="C30" activePane="bottomRight" state="frozen"/>
      <selection pane="topRight" activeCell="C1" sqref="C1"/>
      <selection pane="bottomLeft" activeCell="A9" sqref="A9"/>
      <selection pane="bottomRight" activeCell="N3" sqref="N3"/>
    </sheetView>
  </sheetViews>
  <sheetFormatPr defaultColWidth="9.7109375" defaultRowHeight="12.75"/>
  <cols>
    <col min="1" max="1" width="8.85546875" style="79" customWidth="1"/>
    <col min="2" max="2" width="2.28515625" style="79" customWidth="1"/>
    <col min="3" max="3" width="17.7109375" style="79" customWidth="1"/>
    <col min="4" max="4" width="17.140625" style="79" customWidth="1"/>
    <col min="5" max="5" width="17.7109375" style="79" customWidth="1"/>
    <col min="6" max="6" width="17.140625" style="117" customWidth="1"/>
    <col min="7" max="7" width="17.7109375" style="79" customWidth="1"/>
    <col min="8" max="8" width="17.140625" style="79" customWidth="1"/>
    <col min="9" max="9" width="20.140625" style="79" customWidth="1"/>
    <col min="10" max="10" width="17.140625" style="79" customWidth="1"/>
    <col min="11" max="11" width="17.7109375" style="79" customWidth="1"/>
    <col min="12" max="12" width="17.140625" style="79" customWidth="1"/>
    <col min="13" max="14" width="17.7109375" style="79" customWidth="1"/>
    <col min="15" max="15" width="9.7109375" style="79"/>
    <col min="16" max="18" width="11.5703125" style="79" bestFit="1" customWidth="1"/>
    <col min="19" max="16384" width="9.7109375" style="79"/>
  </cols>
  <sheetData>
    <row r="1" spans="1:15" ht="26.25">
      <c r="C1" s="80"/>
      <c r="D1" s="81"/>
      <c r="E1" s="81"/>
      <c r="F1" s="82"/>
      <c r="G1" s="81"/>
      <c r="H1" s="83" t="s">
        <v>48</v>
      </c>
      <c r="I1" s="81"/>
      <c r="J1" s="81"/>
      <c r="K1" s="81"/>
      <c r="L1" s="81"/>
      <c r="M1" s="81"/>
      <c r="N1" s="81"/>
    </row>
    <row r="2" spans="1:15" ht="27" customHeight="1">
      <c r="C2" s="84"/>
      <c r="D2" s="84"/>
      <c r="E2" s="84"/>
      <c r="F2" s="85"/>
      <c r="G2" s="84"/>
      <c r="H2" s="83" t="s">
        <v>49</v>
      </c>
      <c r="I2" s="84"/>
      <c r="J2" s="84"/>
      <c r="K2" s="84"/>
      <c r="L2" s="84"/>
      <c r="M2" s="84"/>
      <c r="N2" s="86">
        <v>45408</v>
      </c>
    </row>
    <row r="3" spans="1:15" ht="18">
      <c r="A3"/>
      <c r="B3"/>
      <c r="C3"/>
      <c r="D3"/>
      <c r="E3"/>
      <c r="F3" s="87"/>
      <c r="G3" s="88"/>
      <c r="H3" s="88"/>
      <c r="I3" s="88"/>
      <c r="J3" s="88"/>
      <c r="K3" s="88"/>
      <c r="L3" s="88"/>
      <c r="M3" s="88"/>
      <c r="N3" s="89">
        <v>1.111</v>
      </c>
    </row>
    <row r="4" spans="1:15" ht="18.75" thickBot="1">
      <c r="A4" s="88"/>
      <c r="B4" s="88"/>
      <c r="C4" s="88"/>
      <c r="D4" s="88"/>
      <c r="E4" s="88"/>
      <c r="F4" s="87"/>
      <c r="G4" s="88"/>
      <c r="H4" s="88"/>
      <c r="I4" s="88"/>
      <c r="J4" s="88"/>
      <c r="K4" s="88"/>
      <c r="L4" s="90"/>
      <c r="M4" s="89"/>
      <c r="N4" s="86"/>
    </row>
    <row r="5" spans="1:15" ht="18.75" thickTop="1">
      <c r="A5" s="91"/>
      <c r="B5" s="91"/>
      <c r="C5" s="91"/>
      <c r="D5" s="91" t="s">
        <v>50</v>
      </c>
      <c r="E5" s="91" t="s">
        <v>51</v>
      </c>
      <c r="F5" s="91" t="s">
        <v>50</v>
      </c>
      <c r="G5" s="91" t="s">
        <v>52</v>
      </c>
      <c r="H5" s="91" t="s">
        <v>50</v>
      </c>
      <c r="I5" s="91"/>
      <c r="J5" s="91" t="s">
        <v>50</v>
      </c>
      <c r="K5" s="91" t="s">
        <v>53</v>
      </c>
      <c r="L5" s="91" t="s">
        <v>50</v>
      </c>
      <c r="M5" s="92" t="s">
        <v>54</v>
      </c>
      <c r="N5" s="92"/>
    </row>
    <row r="6" spans="1:15" ht="21">
      <c r="A6" s="93"/>
      <c r="B6" s="93" t="s">
        <v>55</v>
      </c>
      <c r="C6" s="93" t="s">
        <v>52</v>
      </c>
      <c r="D6" s="93" t="s">
        <v>56</v>
      </c>
      <c r="E6" s="93" t="s">
        <v>57</v>
      </c>
      <c r="F6" s="93" t="s">
        <v>56</v>
      </c>
      <c r="G6" s="93" t="s">
        <v>58</v>
      </c>
      <c r="H6" s="93" t="s">
        <v>56</v>
      </c>
      <c r="I6" s="93" t="s">
        <v>59</v>
      </c>
      <c r="J6" s="93" t="s">
        <v>56</v>
      </c>
      <c r="K6" s="93" t="s">
        <v>81</v>
      </c>
      <c r="L6" s="93" t="s">
        <v>56</v>
      </c>
      <c r="M6" s="94" t="s">
        <v>128</v>
      </c>
      <c r="N6" s="94"/>
    </row>
    <row r="7" spans="1:15" ht="18.75" thickBot="1">
      <c r="A7" s="95"/>
      <c r="B7" s="95" t="s">
        <v>60</v>
      </c>
      <c r="C7" s="95" t="s">
        <v>61</v>
      </c>
      <c r="D7" s="95" t="s">
        <v>62</v>
      </c>
      <c r="E7" s="95" t="s">
        <v>63</v>
      </c>
      <c r="F7" s="95" t="s">
        <v>62</v>
      </c>
      <c r="G7" s="95" t="s">
        <v>64</v>
      </c>
      <c r="H7" s="95" t="s">
        <v>62</v>
      </c>
      <c r="I7" s="95" t="s">
        <v>65</v>
      </c>
      <c r="J7" s="95" t="s">
        <v>62</v>
      </c>
      <c r="K7" s="95" t="s">
        <v>66</v>
      </c>
      <c r="L7" s="95" t="s">
        <v>62</v>
      </c>
      <c r="M7" s="95" t="s">
        <v>67</v>
      </c>
      <c r="N7" s="95" t="s">
        <v>68</v>
      </c>
    </row>
    <row r="8" spans="1:15" ht="18.75" thickTop="1">
      <c r="A8" s="93"/>
      <c r="B8" s="93"/>
      <c r="C8" s="89" t="s">
        <v>69</v>
      </c>
      <c r="D8" s="89"/>
      <c r="E8" s="89" t="s">
        <v>70</v>
      </c>
      <c r="F8" s="89"/>
      <c r="G8" s="89" t="s">
        <v>71</v>
      </c>
      <c r="H8" s="89"/>
      <c r="I8" s="89" t="s">
        <v>72</v>
      </c>
      <c r="J8" s="89"/>
      <c r="K8" s="89" t="s">
        <v>73</v>
      </c>
      <c r="L8" s="88"/>
      <c r="M8" s="84" t="s">
        <v>74</v>
      </c>
      <c r="N8" s="84"/>
    </row>
    <row r="9" spans="1:15" ht="9" customHeight="1">
      <c r="A9" s="93"/>
      <c r="B9" s="93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5" ht="18">
      <c r="A10" s="97">
        <f>+Sheet1!B4</f>
        <v>2019</v>
      </c>
      <c r="B10" s="98"/>
      <c r="C10" s="88"/>
      <c r="D10" s="88"/>
      <c r="E10" s="88"/>
      <c r="F10" s="87"/>
      <c r="G10" s="88"/>
      <c r="H10" s="88"/>
      <c r="I10" s="88"/>
      <c r="J10" s="88"/>
      <c r="K10" s="88"/>
      <c r="L10" s="88"/>
      <c r="M10" s="88"/>
      <c r="N10" s="88"/>
    </row>
    <row r="11" spans="1:15" ht="18">
      <c r="A11" s="89" t="s">
        <v>2</v>
      </c>
      <c r="B11" s="89"/>
      <c r="C11" s="99">
        <f ca="1">OFFSET(Quarterly!B$1,Sheet1!$C5,0)</f>
        <v>7934.5</v>
      </c>
      <c r="D11" s="100">
        <f ca="1">(C11/OFFSET(Quarterly!B$1,Sheet1!$C5-4,0)-1)*100</f>
        <v>0.72230120848988388</v>
      </c>
      <c r="E11" s="99">
        <f ca="1">OFFSET(Quarterly!C$1,Sheet1!$C5,0)</f>
        <v>808.34331085764688</v>
      </c>
      <c r="F11" s="100">
        <f ca="1">(E11/OFFSET(Quarterly!C$1,Sheet1!$C5-4,0)-1)*100</f>
        <v>-1.5247237162532512</v>
      </c>
      <c r="G11" s="99">
        <f ca="1">OFFSET(Quarterly!D$1,Sheet1!$C5,0)</f>
        <v>6413.7999999999993</v>
      </c>
      <c r="H11" s="100">
        <f ca="1">(G11/OFFSET(Quarterly!D$1,Sheet1!$C5-4,0)-1)*100</f>
        <v>-0.81343560559198336</v>
      </c>
      <c r="I11" s="101">
        <f ca="1">OFFSET(Quarterly!F$1,Sheet1!$C5,0)</f>
        <v>13.954535828704801</v>
      </c>
      <c r="J11" s="100">
        <f ca="1">(I11/OFFSET(Quarterly!F$1,Sheet1!$C5-4,0)-1)*100</f>
        <v>-0.13376700592522273</v>
      </c>
      <c r="K11" s="102">
        <f ca="1">OFFSET(Quarterly!G$1,Sheet1!$C5,0)</f>
        <v>125.27</v>
      </c>
      <c r="L11" s="100">
        <f ca="1">(K11/OFFSET(Quarterly!G$1,Sheet1!$C5-4,0)-1)*100</f>
        <v>-0.26538573817044275</v>
      </c>
      <c r="M11" s="102">
        <f ca="1">OFFSET(Quarterly!H$1,Sheet1!$C5,0)</f>
        <v>142.87333333333333</v>
      </c>
      <c r="N11" s="102">
        <f ca="1">OFFSET(Quarterly!I$1,Sheet1!$C5,0)</f>
        <v>171.40666666666667</v>
      </c>
    </row>
    <row r="12" spans="1:15" ht="18">
      <c r="A12" s="89" t="s">
        <v>3</v>
      </c>
      <c r="B12" s="89"/>
      <c r="C12" s="99">
        <f ca="1">OFFSET(Quarterly!B$1,Sheet1!$C6,0)</f>
        <v>8576.2999999999993</v>
      </c>
      <c r="D12" s="100">
        <f ca="1">(C12/OFFSET(Quarterly!B$1,Sheet1!$C6-4,0)-1)*100</f>
        <v>1.7873885849246873</v>
      </c>
      <c r="E12" s="99">
        <f ca="1">OFFSET(Quarterly!C$1,Sheet1!$C6,0)</f>
        <v>794.84159835826642</v>
      </c>
      <c r="F12" s="100">
        <f ca="1">(E12/OFFSET(Quarterly!C$1,Sheet1!$C6-4,0)-1)*100</f>
        <v>-0.42380077186801035</v>
      </c>
      <c r="G12" s="99">
        <f ca="1">OFFSET(Quarterly!D$1,Sheet1!$C6,0)</f>
        <v>6816.7999999999993</v>
      </c>
      <c r="H12" s="100">
        <f ca="1">(G12/OFFSET(Quarterly!D$1,Sheet1!$C6-4,0)-1)*100</f>
        <v>1.356012846437471</v>
      </c>
      <c r="I12" s="101">
        <f ca="1">OFFSET(Quarterly!F$1,Sheet1!$C6,0)</f>
        <v>14.791943149437314</v>
      </c>
      <c r="J12" s="100">
        <f ca="1">(I12/OFFSET(Quarterly!F$1,Sheet1!$C6-4,0)-1)*100</f>
        <v>2.1159479894126143</v>
      </c>
      <c r="K12" s="102">
        <f ca="1">OFFSET(Quarterly!G$1,Sheet1!$C6,0)</f>
        <v>118.79333333333334</v>
      </c>
      <c r="L12" s="100">
        <f ca="1">(K12/OFFSET(Quarterly!G$1,Sheet1!$C6-4,0)-1)*100</f>
        <v>1.7763308201965033</v>
      </c>
      <c r="M12" s="102">
        <f ca="1">OFFSET(Quarterly!H$1,Sheet1!$C6,0)</f>
        <v>143.23333333333335</v>
      </c>
      <c r="N12" s="102">
        <f ca="1">OFFSET(Quarterly!I$1,Sheet1!$C6,0)</f>
        <v>167.22</v>
      </c>
    </row>
    <row r="13" spans="1:15" ht="18">
      <c r="A13" s="89" t="s">
        <v>4</v>
      </c>
      <c r="B13" s="89"/>
      <c r="C13" s="99">
        <f ca="1">OFFSET(Quarterly!B$1,Sheet1!$C7,0)</f>
        <v>8541.6</v>
      </c>
      <c r="D13" s="100">
        <f ca="1">(C13/OFFSET(Quarterly!B$1,Sheet1!$C7-4,0)-1)*100</f>
        <v>2.1612505830711948</v>
      </c>
      <c r="E13" s="99">
        <f ca="1">OFFSET(Quarterly!C$1,Sheet1!$C7,0)</f>
        <v>810.46876463426065</v>
      </c>
      <c r="F13" s="100">
        <f ca="1">(E13/OFFSET(Quarterly!C$1,Sheet1!$C7-4,0)-1)*100</f>
        <v>-0.62257770204595664</v>
      </c>
      <c r="G13" s="99">
        <f ca="1">OFFSET(Quarterly!D$1,Sheet1!$C7,0)</f>
        <v>6922.7000000000007</v>
      </c>
      <c r="H13" s="100">
        <f ca="1">(G13/OFFSET(Quarterly!D$1,Sheet1!$C7-4,0)-1)*100</f>
        <v>1.5252174168096655</v>
      </c>
      <c r="I13" s="101">
        <f ca="1">OFFSET(Quarterly!F$1,Sheet1!$C7,0)</f>
        <v>14.541328855347848</v>
      </c>
      <c r="J13" s="100">
        <f ca="1">(I13/OFFSET(Quarterly!F$1,Sheet1!$C7-4,0)-1)*100</f>
        <v>0.9871615020040192</v>
      </c>
      <c r="K13" s="102">
        <f ca="1">OFFSET(Quarterly!G$1,Sheet1!$C7,0)</f>
        <v>108.16333333333334</v>
      </c>
      <c r="L13" s="100">
        <f ca="1">(K13/OFFSET(Quarterly!G$1,Sheet1!$C7-4,0)-1)*100</f>
        <v>-2.4031520692973984</v>
      </c>
      <c r="M13" s="102">
        <f ca="1">OFFSET(Quarterly!H$1,Sheet1!$C7,0)</f>
        <v>144.39666666666668</v>
      </c>
      <c r="N13" s="102">
        <f ca="1">OFFSET(Quarterly!I$1,Sheet1!$C7,0)</f>
        <v>156.80666666666667</v>
      </c>
    </row>
    <row r="14" spans="1:15" ht="18">
      <c r="A14" s="89" t="s">
        <v>5</v>
      </c>
      <c r="B14" s="89"/>
      <c r="C14" s="99">
        <f ca="1">OFFSET(Quarterly!B$1,Sheet1!$C8,0)</f>
        <v>8502.9</v>
      </c>
      <c r="D14" s="100">
        <f ca="1">(C14/OFFSET(Quarterly!B$1,Sheet1!$C8-4,0)-1)*100</f>
        <v>1.9471254720939912</v>
      </c>
      <c r="E14" s="99">
        <f ca="1">OFFSET(Quarterly!C$1,Sheet1!$C8,0)</f>
        <v>823.40142774818014</v>
      </c>
      <c r="F14" s="100">
        <f ca="1">(E14/OFFSET(Quarterly!C$1,Sheet1!$C8-4,0)-1)*100</f>
        <v>8.5687338905771071E-2</v>
      </c>
      <c r="G14" s="99">
        <f ca="1">OFFSET(Quarterly!D$1,Sheet1!$C8,0)</f>
        <v>7001.3000000000011</v>
      </c>
      <c r="H14" s="100">
        <f ca="1">(G14/OFFSET(Quarterly!D$1,Sheet1!$C8-4,0)-1)*100</f>
        <v>2.0344812510019628</v>
      </c>
      <c r="I14" s="101">
        <f ca="1">OFFSET(Quarterly!F$1,Sheet1!$C8,0)</f>
        <v>14.830653326610262</v>
      </c>
      <c r="J14" s="100">
        <f ca="1">(I14/OFFSET(Quarterly!F$1,Sheet1!$C8-4,0)-1)*100</f>
        <v>2.6309044998551245</v>
      </c>
      <c r="K14" s="102">
        <f ca="1">OFFSET(Quarterly!G$1,Sheet1!$C8,0)</f>
        <v>114.88</v>
      </c>
      <c r="L14" s="100">
        <f ca="1">(K14/OFFSET(Quarterly!G$1,Sheet1!$C8-4,0)-1)*100</f>
        <v>-0.37866743749096488</v>
      </c>
      <c r="M14" s="102">
        <f ca="1">OFFSET(Quarterly!H$1,Sheet1!$C8,0)</f>
        <v>148.17666666666665</v>
      </c>
      <c r="N14" s="102">
        <f ca="1">OFFSET(Quarterly!I$1,Sheet1!$C8,0)</f>
        <v>158.1766666666667</v>
      </c>
      <c r="O14" s="144"/>
    </row>
    <row r="15" spans="1:15" ht="18">
      <c r="A15" s="89" t="s">
        <v>55</v>
      </c>
      <c r="B15" s="89"/>
      <c r="C15" s="99">
        <f ca="1">OFFSET(Annual!B$1,Sheet1!$C9,0)</f>
        <v>33555.299999999996</v>
      </c>
      <c r="D15" s="100">
        <f ca="1">(C15/(OFFSET(Annual!B$1,Sheet1!$C9-1,0))-1)*100</f>
        <v>1.6682472496341472</v>
      </c>
      <c r="E15" s="99">
        <f ca="1">OFFSET(Annual!C$1,Sheet1!$C9,0)</f>
        <v>809.2492095138474</v>
      </c>
      <c r="F15" s="100">
        <f ca="1">(E15/(OFFSET(Annual!C$1,Sheet1!$C9-1,0))-1)*100</f>
        <v>-0.60795691772345117</v>
      </c>
      <c r="G15" s="99">
        <f ca="1">OFFSET(Annual!D$1,Sheet1!$C9,0)</f>
        <v>27154.6</v>
      </c>
      <c r="H15" s="100">
        <f ca="1">(G15/(OFFSET(Annual!D$1,Sheet1!$C9-1,0))-1)*100</f>
        <v>1.0501481073518004</v>
      </c>
      <c r="I15" s="101">
        <f ca="1">OFFSET(Annual!E$1,Sheet1!$C9,0)</f>
        <v>58.119930150602016</v>
      </c>
      <c r="J15" s="100">
        <f ca="1">(I15/(OFFSET(Annual!E$1,Sheet1!$C9-1,0))-1)*100</f>
        <v>1.4146949481718352</v>
      </c>
      <c r="K15" s="102">
        <f ca="1">AVERAGE(K11:K14)</f>
        <v>116.77666666666667</v>
      </c>
      <c r="L15" s="100">
        <f ca="1">(K15/(OFFSET(Annual!F$1,Sheet1!$C9-1,0))-1)*100</f>
        <v>-0.2903088088800243</v>
      </c>
      <c r="M15" s="102">
        <f ca="1">AVERAGE(M11:M14)</f>
        <v>144.66999999999999</v>
      </c>
      <c r="N15" s="102">
        <f ca="1">AVERAGE(N11:N14)</f>
        <v>163.4025</v>
      </c>
    </row>
    <row r="16" spans="1:15" ht="18">
      <c r="A16" s="97">
        <f>+Sheet1!B10</f>
        <v>2020</v>
      </c>
      <c r="B16" s="98"/>
      <c r="C16" s="103"/>
      <c r="D16" s="100"/>
      <c r="E16" s="103"/>
      <c r="F16" s="100"/>
      <c r="G16" s="104"/>
      <c r="H16" s="100"/>
      <c r="I16" s="101"/>
      <c r="J16" s="100"/>
      <c r="K16" s="104"/>
      <c r="L16" s="100"/>
      <c r="M16" s="105"/>
      <c r="N16" s="102"/>
    </row>
    <row r="17" spans="1:14" ht="18">
      <c r="A17" s="89" t="s">
        <v>2</v>
      </c>
      <c r="B17" s="89"/>
      <c r="C17" s="99">
        <f ca="1">OFFSET(Quarterly!B$1,Sheet1!$C11,0)</f>
        <v>8401.9000000000015</v>
      </c>
      <c r="D17" s="100">
        <f ca="1">(C17/OFFSET(Quarterly!B$1,Sheet1!$C11-4,0)-1)*100</f>
        <v>5.8907303547797829</v>
      </c>
      <c r="E17" s="99">
        <f ca="1">OFFSET(Quarterly!C$1,Sheet1!$C11,0)</f>
        <v>824.92055368428566</v>
      </c>
      <c r="F17" s="100">
        <f ca="1">(E17/OFFSET(Quarterly!C$1,Sheet1!$C11-4,0)-1)*100</f>
        <v>2.0507676137073938</v>
      </c>
      <c r="G17" s="99">
        <f ca="1">OFFSET(Quarterly!D$1,Sheet1!$C11,0)</f>
        <v>6930.9000000000005</v>
      </c>
      <c r="H17" s="100">
        <f ca="1">(G17/OFFSET(Quarterly!D$1,Sheet1!$C11-4,0)-1)*100</f>
        <v>8.0623031588138225</v>
      </c>
      <c r="I17" s="101">
        <f ca="1">OFFSET(Quarterly!F$1,Sheet1!$C11,0)</f>
        <v>14.729420128608041</v>
      </c>
      <c r="J17" s="100">
        <f ca="1">(I17/OFFSET(Quarterly!F$1,Sheet1!$C11-4,0)-1)*100</f>
        <v>5.552920637526948</v>
      </c>
      <c r="K17" s="102">
        <f ca="1">OFFSET(Quarterly!G$1,Sheet1!$C11,0)</f>
        <v>118.32000000000001</v>
      </c>
      <c r="L17" s="100">
        <f ca="1">(K17/OFFSET(Quarterly!G$1,Sheet1!$C11-4,0)-1)*100</f>
        <v>-5.5480162848247749</v>
      </c>
      <c r="M17" s="102">
        <f ca="1">OFFSET(Quarterly!H$1,Sheet1!$C11,0)</f>
        <v>138.90333333333334</v>
      </c>
      <c r="N17" s="102">
        <f ca="1">OFFSET(Quarterly!I$1,Sheet1!$C11,0)</f>
        <v>166.38333333333333</v>
      </c>
    </row>
    <row r="18" spans="1:14" ht="18">
      <c r="A18" s="89" t="s">
        <v>3</v>
      </c>
      <c r="B18" s="89"/>
      <c r="C18" s="99">
        <f ca="1">OFFSET(Quarterly!B$1,Sheet1!$C12,0)</f>
        <v>7398.7999999999993</v>
      </c>
      <c r="D18" s="100">
        <f ca="1">(C18/OFFSET(Quarterly!B$1,Sheet1!$C12-4,0)-1)*100</f>
        <v>-13.729696955563586</v>
      </c>
      <c r="E18" s="99">
        <f ca="1">OFFSET(Quarterly!C$1,Sheet1!$C12,0)</f>
        <v>818.86251824620206</v>
      </c>
      <c r="F18" s="100">
        <f ca="1">(E18/OFFSET(Quarterly!C$1,Sheet1!$C12-4,0)-1)*100</f>
        <v>3.0221015026831166</v>
      </c>
      <c r="G18" s="99">
        <f ca="1">OFFSET(Quarterly!D$1,Sheet1!$C12,0)</f>
        <v>6058.5999999999995</v>
      </c>
      <c r="H18" s="100">
        <f ca="1">(G18/OFFSET(Quarterly!D$1,Sheet1!$C12-4,0)-1)*100</f>
        <v>-11.122520830888394</v>
      </c>
      <c r="I18" s="101">
        <f ca="1">OFFSET(Quarterly!F$1,Sheet1!$C12,0)</f>
        <v>13.577171496553202</v>
      </c>
      <c r="J18" s="100">
        <f ca="1">(I18/OFFSET(Quarterly!F$1,Sheet1!$C12-4,0)-1)*100</f>
        <v>-8.2123872476505646</v>
      </c>
      <c r="K18" s="102">
        <f ca="1">OFFSET(Quarterly!G$1,Sheet1!$C12,0)</f>
        <v>105.79</v>
      </c>
      <c r="L18" s="100">
        <f ca="1">(K18/OFFSET(Quarterly!G$1,Sheet1!$C12-4,0)-1)*100</f>
        <v>-10.946181042707215</v>
      </c>
      <c r="M18" s="102">
        <f ca="1">OFFSET(Quarterly!H$1,Sheet1!$C12,0)</f>
        <v>129.45333333333335</v>
      </c>
      <c r="N18" s="102">
        <f ca="1">OFFSET(Quarterly!I$1,Sheet1!$C12,0)</f>
        <v>152.54999999999998</v>
      </c>
    </row>
    <row r="19" spans="1:14" ht="18">
      <c r="A19" s="89" t="s">
        <v>4</v>
      </c>
      <c r="B19" s="89"/>
      <c r="C19" s="99">
        <f ca="1">OFFSET(Quarterly!B$1,Sheet1!$C13,0)</f>
        <v>8541.7000000000007</v>
      </c>
      <c r="D19" s="100">
        <f ca="1">(C19/OFFSET(Quarterly!B$1,Sheet1!$C13-4,0)-1)*100</f>
        <v>1.1707408448025092E-3</v>
      </c>
      <c r="E19" s="99">
        <f ca="1">OFFSET(Quarterly!C$1,Sheet1!$C13,0)</f>
        <v>833.00748094641563</v>
      </c>
      <c r="F19" s="100">
        <f ca="1">(E19/OFFSET(Quarterly!C$1,Sheet1!$C13-4,0)-1)*100</f>
        <v>2.7809481741503106</v>
      </c>
      <c r="G19" s="99">
        <f ca="1">OFFSET(Quarterly!D$1,Sheet1!$C13,0)</f>
        <v>7115.2999999999993</v>
      </c>
      <c r="H19" s="100">
        <f ca="1">(G19/OFFSET(Quarterly!D$1,Sheet1!$C13-4,0)-1)*100</f>
        <v>2.7821514726912744</v>
      </c>
      <c r="I19" s="101">
        <f ca="1">OFFSET(Quarterly!F$1,Sheet1!$C13,0)</f>
        <v>15.54308580816428</v>
      </c>
      <c r="J19" s="100">
        <f ca="1">(I19/OFFSET(Quarterly!F$1,Sheet1!$C13-4,0)-1)*100</f>
        <v>6.8890330641825592</v>
      </c>
      <c r="K19" s="102">
        <f ca="1">OFFSET(Quarterly!G$1,Sheet1!$C13,0)</f>
        <v>101.74333333333334</v>
      </c>
      <c r="L19" s="100">
        <f ca="1">(K19/OFFSET(Quarterly!G$1,Sheet1!$C13-4,0)-1)*100</f>
        <v>-5.9354679651144941</v>
      </c>
      <c r="M19" s="102">
        <f ca="1">OFFSET(Quarterly!H$1,Sheet1!$C13,0)</f>
        <v>141.97333333333333</v>
      </c>
      <c r="N19" s="102">
        <f ca="1">OFFSET(Quarterly!I$1,Sheet1!$C13,0)</f>
        <v>157.01</v>
      </c>
    </row>
    <row r="20" spans="1:14" ht="18">
      <c r="A20" s="89" t="s">
        <v>5</v>
      </c>
      <c r="B20" s="89"/>
      <c r="C20" s="99">
        <f ca="1">OFFSET(Quarterly!B$1,Sheet1!$C14,0)</f>
        <v>8443.2999999999993</v>
      </c>
      <c r="D20" s="100">
        <f ca="1">(C20/OFFSET(Quarterly!B$1,Sheet1!$C14-4,0)-1)*100</f>
        <v>-0.70093732726481672</v>
      </c>
      <c r="E20" s="99">
        <f ca="1">OFFSET(Quarterly!C$1,Sheet1!$C14,0)</f>
        <v>837.2200442954769</v>
      </c>
      <c r="F20" s="100">
        <f ca="1">(E20/OFFSET(Quarterly!C$1,Sheet1!$C14-4,0)-1)*100</f>
        <v>1.6782356796596343</v>
      </c>
      <c r="G20" s="99">
        <f ca="1">OFFSET(Quarterly!D$1,Sheet1!$C14,0)</f>
        <v>7068.9</v>
      </c>
      <c r="H20" s="100">
        <f ca="1">(G20/OFFSET(Quarterly!D$1,Sheet1!$C14-4,0)-1)*100</f>
        <v>0.96553497207658712</v>
      </c>
      <c r="I20" s="101">
        <f ca="1">OFFSET(Quarterly!F$1,Sheet1!$C14,0)</f>
        <v>14.51574406577531</v>
      </c>
      <c r="J20" s="100">
        <f ca="1">(I20/OFFSET(Quarterly!F$1,Sheet1!$C14-4,0)-1)*100</f>
        <v>-2.123367419491351</v>
      </c>
      <c r="K20" s="102">
        <f ca="1">OFFSET(Quarterly!G$1,Sheet1!$C14,0)</f>
        <v>108.18333333333334</v>
      </c>
      <c r="L20" s="100">
        <f ca="1">(K20/OFFSET(Quarterly!G$1,Sheet1!$C14-4,0)-1)*100</f>
        <v>-5.8292711234911749</v>
      </c>
      <c r="M20" s="102">
        <f ca="1">OFFSET(Quarterly!H$1,Sheet1!$C14,0)</f>
        <v>138.04666666666665</v>
      </c>
      <c r="N20" s="102">
        <f ca="1">OFFSET(Quarterly!I$1,Sheet1!$C14,0)</f>
        <v>155</v>
      </c>
    </row>
    <row r="21" spans="1:14" ht="18">
      <c r="A21" s="89" t="s">
        <v>55</v>
      </c>
      <c r="B21" s="89"/>
      <c r="C21" s="99">
        <f ca="1">OFFSET(Annual!B$1,Sheet1!$C15,0)</f>
        <v>32785.700000000004</v>
      </c>
      <c r="D21" s="100">
        <f ca="1">(C21/(OFFSET(Annual!B$1,Sheet1!$C15-1,0))-1)*100</f>
        <v>-2.293527401036477</v>
      </c>
      <c r="E21" s="99">
        <f ca="1">OFFSET(Annual!C$1,Sheet1!$C15,0)</f>
        <v>828.82781212540829</v>
      </c>
      <c r="F21" s="100">
        <f ca="1">(E21/(OFFSET(Annual!C$1,Sheet1!$C15-1,0))-1)*100</f>
        <v>2.4193539371292871</v>
      </c>
      <c r="G21" s="99">
        <f ca="1">OFFSET(Annual!D$1,Sheet1!$C15,0)</f>
        <v>27173.7</v>
      </c>
      <c r="H21" s="100">
        <f ca="1">(G21/(OFFSET(Annual!D$1,Sheet1!$C15-1,0))-1)*100</f>
        <v>7.0337990616708979E-2</v>
      </c>
      <c r="I21" s="101">
        <f ca="1">OFFSET(Annual!E$1,Sheet1!$C15,0)</f>
        <v>58.366187370565726</v>
      </c>
      <c r="J21" s="100">
        <f ca="1">(I21/(OFFSET(Annual!E$1,Sheet1!$C15-1,0))-1)*100</f>
        <v>0.42370529235944421</v>
      </c>
      <c r="K21" s="102">
        <f ca="1">AVERAGE(K17:K20)</f>
        <v>108.50916666666667</v>
      </c>
      <c r="L21" s="100">
        <f ca="1">(K21/(OFFSET(Annual!F$1,Sheet1!$C15-1,0))-1)*100</f>
        <v>-7.0797533753889086</v>
      </c>
      <c r="M21" s="102">
        <f ca="1">AVERAGE(M17:M20)</f>
        <v>137.09416666666667</v>
      </c>
      <c r="N21" s="102">
        <f ca="1">AVERAGE(N17:N20)</f>
        <v>157.73583333333332</v>
      </c>
    </row>
    <row r="22" spans="1:14" ht="18">
      <c r="A22" s="97">
        <f>+Sheet1!B16</f>
        <v>2021</v>
      </c>
      <c r="B22" s="98"/>
      <c r="C22" s="99"/>
      <c r="D22" s="100"/>
      <c r="E22" s="99"/>
      <c r="F22" s="100"/>
      <c r="G22" s="99"/>
      <c r="H22" s="100"/>
      <c r="I22" s="101"/>
      <c r="J22" s="100"/>
      <c r="K22" s="105"/>
      <c r="L22" s="100"/>
      <c r="M22" s="105"/>
      <c r="N22" s="102"/>
    </row>
    <row r="23" spans="1:14" ht="18">
      <c r="A23" s="89" t="s">
        <v>2</v>
      </c>
      <c r="B23" s="89"/>
      <c r="C23" s="99">
        <f ca="1">OFFSET(Quarterly!B$1,Sheet1!$C17,0)</f>
        <v>8279.5</v>
      </c>
      <c r="D23" s="100">
        <f ca="1">(C23/C17-1)*100</f>
        <v>-1.4568133398398131</v>
      </c>
      <c r="E23" s="99">
        <f ca="1">OFFSET(Quarterly!C$1,Sheet1!$C17,0)</f>
        <v>833.34741846390182</v>
      </c>
      <c r="F23" s="100">
        <f ca="1">(E23/E17-1)*100</f>
        <v>1.0215365276061927</v>
      </c>
      <c r="G23" s="99">
        <f ca="1">OFFSET(Quarterly!D$1,Sheet1!$C17,0)</f>
        <v>6899.699951171875</v>
      </c>
      <c r="H23" s="100">
        <f ca="1">(G23/G17-1)*100</f>
        <v>-0.45015869263913544</v>
      </c>
      <c r="I23" s="101">
        <f ca="1">OFFSET(Quarterly!F$1,Sheet1!$C17,0)</f>
        <v>14.572936933879392</v>
      </c>
      <c r="J23" s="100">
        <f ca="1">(I23/I17-1)*100</f>
        <v>-1.0623853034426034</v>
      </c>
      <c r="K23" s="102">
        <f ca="1">OFFSET(Quarterly!G$1,Sheet1!$C17,0)</f>
        <v>112.98333333333335</v>
      </c>
      <c r="L23" s="100">
        <f ca="1">(K23/K17-1)*100</f>
        <v>-4.5103673653369309</v>
      </c>
      <c r="M23" s="102">
        <f ca="1">OFFSET(Quarterly!H$1,Sheet1!$C17,0)</f>
        <v>136.65333333333334</v>
      </c>
      <c r="N23" s="102">
        <f ca="1">OFFSET(Quarterly!I$1,Sheet1!$C17,0)</f>
        <v>164.82666666666668</v>
      </c>
    </row>
    <row r="24" spans="1:14" ht="18">
      <c r="A24" s="89" t="s">
        <v>3</v>
      </c>
      <c r="B24" s="89"/>
      <c r="C24" s="99">
        <f ca="1">OFFSET(Quarterly!B$1,Sheet1!$C18,0)</f>
        <v>8510.2998046875</v>
      </c>
      <c r="D24" s="100">
        <f ca="1">(C24/C18-1)*100</f>
        <v>15.022703745032985</v>
      </c>
      <c r="E24" s="99">
        <f ca="1">OFFSET(Quarterly!C$1,Sheet1!$C18,0)</f>
        <v>818.208536829281</v>
      </c>
      <c r="F24" s="100">
        <f ca="1">(E24/E18-1)*100</f>
        <v>-7.9864617362357393E-2</v>
      </c>
      <c r="G24" s="99">
        <f ca="1">OFFSET(Quarterly!D$1,Sheet1!$C18,0)</f>
        <v>6963.199951171875</v>
      </c>
      <c r="H24" s="100">
        <f ca="1">(G24/G18-1)*100</f>
        <v>14.930841302807174</v>
      </c>
      <c r="I24" s="101">
        <f ca="1">OFFSET(Quarterly!F$1,Sheet1!$C18,0)</f>
        <v>14.886918128306206</v>
      </c>
      <c r="J24" s="100">
        <f ca="1">(I24/I18-1)*100</f>
        <v>9.6466825368266562</v>
      </c>
      <c r="K24" s="102">
        <f ca="1">OFFSET(Quarterly!G$1,Sheet1!$C18,0)</f>
        <v>120.75666666666666</v>
      </c>
      <c r="L24" s="100">
        <f ca="1">(K24/K18-1)*100</f>
        <v>14.147524970854185</v>
      </c>
      <c r="M24" s="102">
        <f ca="1">OFFSET(Quarterly!H$1,Sheet1!$C18,0)</f>
        <v>141.58333333333334</v>
      </c>
      <c r="N24" s="102">
        <f ca="1">OFFSET(Quarterly!I$1,Sheet1!$C18,0)</f>
        <v>165.07</v>
      </c>
    </row>
    <row r="25" spans="1:14" ht="18">
      <c r="A25" s="89" t="s">
        <v>4</v>
      </c>
      <c r="B25" s="89"/>
      <c r="C25" s="99">
        <f ca="1">OFFSET(Quarterly!B$1,Sheet1!$C19,0)</f>
        <v>8526.699951171875</v>
      </c>
      <c r="D25" s="100">
        <f ca="1">(C25/C19-1)*100</f>
        <v>-0.17560964243799049</v>
      </c>
      <c r="E25" s="99">
        <f ca="1">OFFSET(Quarterly!C$1,Sheet1!$C19,0)</f>
        <v>818.51129220904591</v>
      </c>
      <c r="F25" s="100">
        <f ca="1">(E25/E19-1)*100</f>
        <v>-1.7402231155115189</v>
      </c>
      <c r="G25" s="99">
        <f ca="1">OFFSET(Quarterly!D$1,Sheet1!$C19,0)</f>
        <v>6979.2001953125</v>
      </c>
      <c r="H25" s="100">
        <f ca="1">(G25/G19-1)*100</f>
        <v>-1.9127767583587363</v>
      </c>
      <c r="I25" s="101">
        <f ca="1">OFFSET(Quarterly!F$1,Sheet1!$C19,0)</f>
        <v>14.606886736617826</v>
      </c>
      <c r="J25" s="100">
        <f ca="1">(I25/I19-1)*100</f>
        <v>-6.0232510011280933</v>
      </c>
      <c r="K25" s="102">
        <f ca="1">OFFSET(Quarterly!G$1,Sheet1!$C19,0)</f>
        <v>123.51</v>
      </c>
      <c r="L25" s="100">
        <f ca="1">(K25/K19-1)*100</f>
        <v>21.393703109130826</v>
      </c>
      <c r="M25" s="102">
        <f ca="1">OFFSET(Quarterly!H$1,Sheet1!$C19,0)</f>
        <v>156.41999999999999</v>
      </c>
      <c r="N25" s="102">
        <f ca="1">OFFSET(Quarterly!I$1,Sheet1!$C19,0)</f>
        <v>171.93333333333331</v>
      </c>
    </row>
    <row r="26" spans="1:14" ht="18">
      <c r="A26" s="89" t="s">
        <v>5</v>
      </c>
      <c r="B26" s="89"/>
      <c r="C26" s="99">
        <f ca="1">OFFSET(Quarterly!B$1,Sheet1!$C20,0)</f>
        <v>8533.900146484375</v>
      </c>
      <c r="D26" s="100">
        <f ca="1">(C26/C20-1)*100</f>
        <v>1.0730418969404854</v>
      </c>
      <c r="E26" s="99">
        <f ca="1">OFFSET(Quarterly!C$1,Sheet1!$C20,0)</f>
        <v>832.69079502689965</v>
      </c>
      <c r="F26" s="100">
        <f ca="1">(E26/E20-1)*100</f>
        <v>-0.5409867214047237</v>
      </c>
      <c r="G26" s="99">
        <f ca="1">OFFSET(Quarterly!D$1,Sheet1!$C20,0)</f>
        <v>7106.10009765625</v>
      </c>
      <c r="H26" s="100">
        <f ca="1">(G26/G20-1)*100</f>
        <v>0.52625016135821046</v>
      </c>
      <c r="I26" s="101">
        <f ca="1">OFFSET(Quarterly!F$1,Sheet1!$C20,0)</f>
        <v>14.797771014013563</v>
      </c>
      <c r="J26" s="100">
        <f ca="1">(I26/I20-1)*100</f>
        <v>1.9429038357269279</v>
      </c>
      <c r="K26" s="102">
        <f ca="1">OFFSET(Quarterly!G$1,Sheet1!$C20,0)</f>
        <v>132.35999999999999</v>
      </c>
      <c r="L26" s="100">
        <f ca="1">(K26/K20-1)*100</f>
        <v>22.347866276382653</v>
      </c>
      <c r="M26" s="102">
        <f ca="1">OFFSET(Quarterly!H$1,Sheet1!$C20,0)</f>
        <v>158.62333333333333</v>
      </c>
      <c r="N26" s="102">
        <f ca="1">OFFSET(Quarterly!I$1,Sheet1!$C20,0)</f>
        <v>172.17333333333332</v>
      </c>
    </row>
    <row r="27" spans="1:14" ht="18">
      <c r="A27" s="89" t="s">
        <v>55</v>
      </c>
      <c r="B27" s="89"/>
      <c r="C27" s="99">
        <f ca="1">OFFSET(Annual!B$1,Sheet1!$C21,0)</f>
        <v>33850.39990234375</v>
      </c>
      <c r="D27" s="100">
        <f ca="1">(C27/C21-1)*100</f>
        <v>3.2474520975417587</v>
      </c>
      <c r="E27" s="99">
        <f ca="1">OFFSET(Annual!C$1,Sheet1!$C21,0)</f>
        <v>825.63870075217073</v>
      </c>
      <c r="F27" s="100">
        <f ca="1">(E27/E21-1)*100</f>
        <v>-0.3847736920241096</v>
      </c>
      <c r="G27" s="99">
        <f ca="1">OFFSET(Annual!D$1,Sheet1!$C21,0)</f>
        <v>27948.2001953125</v>
      </c>
      <c r="H27" s="100">
        <f ca="1">(G27/G21-1)*100</f>
        <v>2.8501830641852299</v>
      </c>
      <c r="I27" s="101">
        <f ca="1">OFFSET(Annual!E$1,Sheet1!$C21,0)</f>
        <v>58.864966959446932</v>
      </c>
      <c r="J27" s="100">
        <f ca="1">(I27/I21-1)*100</f>
        <v>0.85456941998707237</v>
      </c>
      <c r="K27" s="102">
        <f ca="1">AVERAGE(K23:K26)</f>
        <v>122.4025</v>
      </c>
      <c r="L27" s="100">
        <f ca="1">(K27/K21-1)*100</f>
        <v>12.803833777484241</v>
      </c>
      <c r="M27" s="102">
        <f ca="1">AVERAGE(M23:M26)</f>
        <v>148.32</v>
      </c>
      <c r="N27" s="102">
        <f ca="1">AVERAGE(N23:N26)</f>
        <v>168.5008333333333</v>
      </c>
    </row>
    <row r="28" spans="1:14" ht="18">
      <c r="A28" s="97">
        <f>+Sheet1!B22</f>
        <v>2022</v>
      </c>
      <c r="B28" s="98"/>
      <c r="C28" s="99"/>
      <c r="D28" s="100"/>
      <c r="E28" s="99"/>
      <c r="F28" s="100"/>
      <c r="G28" s="99"/>
      <c r="H28" s="100"/>
      <c r="I28" s="101"/>
      <c r="J28" s="100"/>
      <c r="K28" s="105"/>
      <c r="L28" s="100"/>
      <c r="M28" s="102"/>
      <c r="N28" s="102"/>
    </row>
    <row r="29" spans="1:14" ht="18">
      <c r="A29" s="89" t="s">
        <v>2</v>
      </c>
      <c r="B29" s="89"/>
      <c r="C29" s="99">
        <f ca="1">OFFSET(Quarterly!B$1,Sheet1!$C23,0)</f>
        <v>8406.000244140625</v>
      </c>
      <c r="D29" s="100">
        <f ca="1">(C29/C23-1)*100</f>
        <v>1.5278729891977205</v>
      </c>
      <c r="E29" s="99">
        <f ca="1">OFFSET(Quarterly!C$1,Sheet1!$C23,0)</f>
        <v>835.51030224904741</v>
      </c>
      <c r="F29" s="100">
        <f ca="1">(E29/E23-1)*100</f>
        <v>0.25954166740354001</v>
      </c>
      <c r="G29" s="99">
        <f ca="1">OFFSET(Quarterly!D$1,Sheet1!$C23,0)</f>
        <v>7023.2998046875</v>
      </c>
      <c r="H29" s="100">
        <f ca="1">(G29/G23-1)*100</f>
        <v>1.7913801236332461</v>
      </c>
      <c r="I29" s="101">
        <f ca="1">OFFSET(Quarterly!F$1,Sheet1!$C23,0)</f>
        <v>15.007281781584997</v>
      </c>
      <c r="J29" s="100">
        <f ca="1">(I29/I23-1)*100</f>
        <v>2.9804894488758338</v>
      </c>
      <c r="K29" s="102">
        <f ca="1">OFFSET(Quarterly!G$1,Sheet1!$C23,0)</f>
        <v>139.25333333333333</v>
      </c>
      <c r="L29" s="100">
        <f ca="1">(K29/K23-1)*100</f>
        <v>23.251216993656865</v>
      </c>
      <c r="M29" s="102">
        <f ca="1">OFFSET(Quarterly!H$1,Sheet1!$C23,0)</f>
        <v>160.00333333333333</v>
      </c>
      <c r="N29" s="102">
        <f ca="1">OFFSET(Quarterly!I$1,Sheet1!$C23,0)</f>
        <v>193.65666666666664</v>
      </c>
    </row>
    <row r="30" spans="1:14" ht="18">
      <c r="A30" s="89" t="s">
        <v>3</v>
      </c>
      <c r="B30" s="89"/>
      <c r="C30" s="99">
        <f ca="1">OFFSET(Quarterly!B$1,Sheet1!$C24,0)</f>
        <v>8673.300048828125</v>
      </c>
      <c r="D30" s="100">
        <f ca="1">(C30/C24-1)*100</f>
        <v>1.9153290469372752</v>
      </c>
      <c r="E30" s="99">
        <f ca="1">OFFSET(Quarterly!C$1,Sheet1!$C24,0)</f>
        <v>815.32978378524899</v>
      </c>
      <c r="F30" s="100">
        <f ca="1">(E30/E24-1)*100</f>
        <v>-0.35183610466688053</v>
      </c>
      <c r="G30" s="99">
        <f ca="1">OFFSET(Quarterly!D$1,Sheet1!$C24,0)</f>
        <v>7071.599853515625</v>
      </c>
      <c r="H30" s="100">
        <f ca="1">(G30/G24-1)*100</f>
        <v>1.5567541231600979</v>
      </c>
      <c r="I30" s="101">
        <f ca="1">OFFSET(Quarterly!F$1,Sheet1!$C24,0)</f>
        <v>14.683286396748986</v>
      </c>
      <c r="J30" s="100">
        <f ca="1">(I30/I24-1)*100</f>
        <v>-1.3678568646792733</v>
      </c>
      <c r="K30" s="102">
        <f ca="1">OFFSET(Quarterly!G$1,Sheet1!$C24,0)</f>
        <v>141.92666666666665</v>
      </c>
      <c r="L30" s="100">
        <f ca="1">(K30/K24-1)*100</f>
        <v>17.531123195406728</v>
      </c>
      <c r="M30" s="102">
        <f ca="1">OFFSET(Quarterly!H$1,Sheet1!$C24,0)</f>
        <v>160.49333333333334</v>
      </c>
      <c r="N30" s="102">
        <f ca="1">OFFSET(Quarterly!I$1,Sheet1!$C24,0)</f>
        <v>188.42999999999998</v>
      </c>
    </row>
    <row r="31" spans="1:14" ht="18">
      <c r="A31" s="89" t="s">
        <v>4</v>
      </c>
      <c r="B31" s="89"/>
      <c r="C31" s="99">
        <f ca="1">OFFSET(Quarterly!B$1,Sheet1!$C25,0)</f>
        <v>8753.500244140625</v>
      </c>
      <c r="D31" s="100">
        <f ca="1">(C31/C25-1)*100</f>
        <v>2.6598835923337338</v>
      </c>
      <c r="E31" s="99">
        <f ca="1">OFFSET(Quarterly!C$1,Sheet1!$C25,0)</f>
        <v>816.11926055138042</v>
      </c>
      <c r="F31" s="100">
        <f ca="1">(E31/E25-1)*100</f>
        <v>-0.29224174185914498</v>
      </c>
      <c r="G31" s="99">
        <f ca="1">OFFSET(Quarterly!D$1,Sheet1!$C25,0)</f>
        <v>7143.900146484375</v>
      </c>
      <c r="H31" s="100">
        <f ca="1">(G31/G25-1)*100</f>
        <v>2.359868560332945</v>
      </c>
      <c r="I31" s="101">
        <f ca="1">OFFSET(Quarterly!F$1,Sheet1!$C25,0)</f>
        <v>14.676330345545244</v>
      </c>
      <c r="J31" s="100">
        <f ca="1">(I31/I25-1)*100</f>
        <v>0.47541690559789185</v>
      </c>
      <c r="K31" s="102">
        <f ca="1">OFFSET(Quarterly!G$1,Sheet1!$C25,0)</f>
        <v>143.42333333333332</v>
      </c>
      <c r="L31" s="100">
        <f ca="1">(K31/K25-1)*100</f>
        <v>16.122851051196907</v>
      </c>
      <c r="M31" s="102">
        <f ca="1">OFFSET(Quarterly!H$1,Sheet1!$C25,0)</f>
        <v>177.56666666666669</v>
      </c>
      <c r="N31" s="102">
        <f ca="1">OFFSET(Quarterly!I$1,Sheet1!$C25,0)</f>
        <v>191.97333333333333</v>
      </c>
    </row>
    <row r="32" spans="1:14" ht="18">
      <c r="A32" s="89" t="s">
        <v>5</v>
      </c>
      <c r="B32" s="89"/>
      <c r="C32" s="99">
        <f ca="1">OFFSET(Quarterly!B$1,Sheet1!$C26,0)</f>
        <v>8492.599853515625</v>
      </c>
      <c r="D32" s="100">
        <f ca="1">(C32/C26-1)*100</f>
        <v>-0.48395566223919939</v>
      </c>
      <c r="E32" s="99">
        <f ca="1">OFFSET(Quarterly!C$1,Sheet1!$C26,0)</f>
        <v>830.35822576347414</v>
      </c>
      <c r="F32" s="100">
        <f ca="1">(E32/E26-1)*100</f>
        <v>-0.28012430032328117</v>
      </c>
      <c r="G32" s="99">
        <f ca="1">OFFSET(Quarterly!D$1,Sheet1!$C26,0)</f>
        <v>7051.900146484375</v>
      </c>
      <c r="H32" s="100">
        <f ca="1">(G32/G26-1)*100</f>
        <v>-0.76272428514976287</v>
      </c>
      <c r="I32" s="101">
        <f ca="1">OFFSET(Quarterly!F$1,Sheet1!$C26,0)</f>
        <v>14.506115279035724</v>
      </c>
      <c r="J32" s="100">
        <f ca="1">(I32/I26-1)*100</f>
        <v>-1.9709436961934279</v>
      </c>
      <c r="K32" s="102">
        <f ca="1">OFFSET(Quarterly!G$1,Sheet1!$C26,0)</f>
        <v>152.99333333333334</v>
      </c>
      <c r="L32" s="100">
        <f ca="1">(K32/K26-1)*100</f>
        <v>15.588798227057543</v>
      </c>
      <c r="M32" s="102">
        <f ca="1">OFFSET(Quarterly!H$1,Sheet1!$C26,0)</f>
        <v>177.49666666666667</v>
      </c>
      <c r="N32" s="102">
        <f ca="1">OFFSET(Quarterly!I$1,Sheet1!$C26,0)</f>
        <v>191.54999999999998</v>
      </c>
    </row>
    <row r="33" spans="1:18" ht="18">
      <c r="A33" s="89" t="s">
        <v>55</v>
      </c>
      <c r="B33" s="89"/>
      <c r="C33" s="99">
        <f ca="1">OFFSET(Annual!B$1,Sheet1!$C27,0)</f>
        <v>34325.400390625</v>
      </c>
      <c r="D33" s="100">
        <f ca="1">(C33/C27-1)*100</f>
        <v>1.403234495461203</v>
      </c>
      <c r="E33" s="99">
        <f ca="1">OFFSET(Annual!C$1,Sheet1!$C27,0)</f>
        <v>824.19140430183211</v>
      </c>
      <c r="F33" s="100">
        <f ca="1">(E33/E27-1)*100</f>
        <v>-0.17529416305462897</v>
      </c>
      <c r="G33" s="99">
        <f ca="1">OFFSET(Annual!D$1,Sheet1!$C27,0)</f>
        <v>28290.699951171875</v>
      </c>
      <c r="H33" s="100">
        <f ca="1">(G33/G27-1)*100</f>
        <v>1.2254805442420524</v>
      </c>
      <c r="I33" s="101">
        <f ca="1">OFFSET(Annual!E$1,Sheet1!$C27,0)</f>
        <v>58.871593274321775</v>
      </c>
      <c r="J33" s="100">
        <f ca="1">(I33/I27-1)*100</f>
        <v>1.1256805562132044E-2</v>
      </c>
      <c r="K33" s="102">
        <f ca="1">AVERAGE(K29:K32)</f>
        <v>144.39916666666664</v>
      </c>
      <c r="L33" s="100">
        <f ca="1">(K33/K27-1)*100</f>
        <v>17.970765847647428</v>
      </c>
      <c r="M33" s="102">
        <f ca="1">AVERAGE(M29:M32)</f>
        <v>168.89000000000001</v>
      </c>
      <c r="N33" s="102">
        <f ca="1">AVERAGE(N29:N32)</f>
        <v>191.40249999999997</v>
      </c>
    </row>
    <row r="34" spans="1:18" ht="18">
      <c r="A34" s="97">
        <f>+Sheet1!B28</f>
        <v>2023</v>
      </c>
      <c r="B34" s="98"/>
      <c r="C34" s="99"/>
      <c r="D34" s="100"/>
      <c r="E34" s="99"/>
      <c r="F34" s="100"/>
      <c r="G34" s="99"/>
      <c r="H34" s="100"/>
      <c r="I34" s="101"/>
      <c r="J34" s="100"/>
      <c r="K34" s="105"/>
      <c r="L34" s="100"/>
      <c r="M34" s="102"/>
      <c r="N34" s="102"/>
    </row>
    <row r="35" spans="1:18" ht="18" customHeight="1">
      <c r="A35" s="89" t="s">
        <v>2</v>
      </c>
      <c r="B35" s="106"/>
      <c r="C35" s="99">
        <f ca="1">IF(OFFSET(Quarterly!B$1,Sheet1!$C29,0)="",OFFSET(Quarterly!L$1,Sheet1!$C29,0),OFFSET(Quarterly!B$1,Sheet1!$C29,0))</f>
        <v>8317.099853515625</v>
      </c>
      <c r="D35" s="100">
        <f ca="1">(C35/C29-1)*100</f>
        <v>-1.0575825367952763</v>
      </c>
      <c r="E35" s="99">
        <f ca="1">IF(OFFSET(Quarterly!C$1,Sheet1!$C29,0)&gt;0,OFFSET(Quarterly!C$1,Sheet1!$C29,0),OFFSET(Quarterly!M$1,Sheet1!$C29,0))</f>
        <v>820.46630035347277</v>
      </c>
      <c r="F35" s="100">
        <f ca="1">(E35/E29-1)*100</f>
        <v>-1.800576468665771</v>
      </c>
      <c r="G35" s="99">
        <f ca="1">IF(OFFSET(Quarterly!D$1,Sheet1!$C29,0)="",OFFSET(Quarterly!E$1,Sheet1!$C29,0),OFFSET(Quarterly!D$1,Sheet1!$C29,0))</f>
        <v>6823.900146484375</v>
      </c>
      <c r="H35" s="100">
        <f ca="1">(G35/G29-1)*100</f>
        <v>-2.8391164231668098</v>
      </c>
      <c r="I35" s="101">
        <f ca="1">OFFSET(Quarterly!F$1,Sheet1!$C29,0)</f>
        <v>14.828562599447192</v>
      </c>
      <c r="J35" s="100">
        <f ca="1">(I35/I29-1)*100</f>
        <v>-1.190883097544726</v>
      </c>
      <c r="K35" s="102">
        <f ca="1">OFFSET(Quarterly!G$1,Sheet1!$C29,0)</f>
        <v>160.91666666666666</v>
      </c>
      <c r="L35" s="100">
        <f ca="1">(K35/K29-1)*100</f>
        <v>15.556779011872845</v>
      </c>
      <c r="M35" s="102">
        <f ca="1">OFFSET(Quarterly!H$1,Sheet1!$C29,0)</f>
        <v>185.52333333333334</v>
      </c>
      <c r="N35" s="102">
        <f ca="1">OFFSET(Quarterly!I$1,Sheet1!$C29,0)</f>
        <v>224.01333333333332</v>
      </c>
      <c r="Q35" s="145"/>
    </row>
    <row r="36" spans="1:18" ht="18" customHeight="1">
      <c r="A36" s="89" t="s">
        <v>3</v>
      </c>
      <c r="C36" s="99">
        <f ca="1">IF(OFFSET(Quarterly!B$1,Sheet1!$C30,0)="",OFFSET(Quarterly!L$1,Sheet1!$C30,0),OFFSET(Quarterly!B$1,Sheet1!$C30,0))</f>
        <v>8281.099853515625</v>
      </c>
      <c r="D36" s="100">
        <f ca="1">(C36/C30-1)*100</f>
        <v>-4.5219258310507886</v>
      </c>
      <c r="E36" s="99">
        <f ca="1">IF(OFFSET(Quarterly!C$1,Sheet1!$C30,0)&gt;0,OFFSET(Quarterly!C$1,Sheet1!$C30,0),OFFSET(Quarterly!M$1,Sheet1!$C30,0))</f>
        <v>810.54450132276872</v>
      </c>
      <c r="F36" s="100">
        <f ca="1">(E36/E30-1)*100</f>
        <v>-0.58691373204400321</v>
      </c>
      <c r="G36" s="99">
        <f ca="1">IF(OFFSET(Quarterly!D$1,Sheet1!$C30,0)="",OFFSET(Quarterly!E$1,Sheet1!$C30,0),OFFSET(Quarterly!D$1,Sheet1!$C30,0))</f>
        <v>6712.199951171875</v>
      </c>
      <c r="H36" s="100">
        <f ca="1">(G36/G30-1)*100</f>
        <v>-5.0822997594395236</v>
      </c>
      <c r="I36" s="101">
        <f ca="1">OFFSET(Quarterly!F$1,Sheet1!$C30,0)</f>
        <v>14.350556353444279</v>
      </c>
      <c r="J36" s="100">
        <f ca="1">(I36/I30-1)*100</f>
        <v>-2.2660461310512692</v>
      </c>
      <c r="K36" s="102">
        <f ca="1">OFFSET(Quarterly!G$1,Sheet1!$C30,0)</f>
        <v>179.01666666666665</v>
      </c>
      <c r="L36" s="100">
        <f ca="1">(K36/K30-1)*100</f>
        <v>26.133214336042098</v>
      </c>
      <c r="M36" s="102">
        <f ca="1">OFFSET(Quarterly!H$1,Sheet1!$C30,0)</f>
        <v>214.15666666666667</v>
      </c>
      <c r="N36" s="102">
        <f ca="1">OFFSET(Quarterly!I$1,Sheet1!$C30,0)</f>
        <v>254.86666666666665</v>
      </c>
    </row>
    <row r="37" spans="1:18" ht="18" customHeight="1">
      <c r="A37" s="89" t="s">
        <v>4</v>
      </c>
      <c r="C37" s="99">
        <f ca="1">IF(OFFSET(Quarterly!B$1,Sheet1!$C31,0)="",OFFSET(Quarterly!L$1,Sheet1!$C31,0),OFFSET(Quarterly!B$1,Sheet1!$C31,0))</f>
        <v>8098.4776660263324</v>
      </c>
      <c r="D37" s="100">
        <f ca="1">(C37/C31-1)*100</f>
        <v>-7.4829789209493462</v>
      </c>
      <c r="E37" s="99">
        <f ca="1">IF(OFFSET(Quarterly!C$1,Sheet1!$C31,0)&gt;0,OFFSET(Quarterly!C$1,Sheet1!$C31,0),OFFSET(Quarterly!M$1,Sheet1!$C31,0))</f>
        <v>817.62280184801216</v>
      </c>
      <c r="F37" s="100">
        <f ca="1">(E37/E31-1)*100</f>
        <v>0.18423058605625542</v>
      </c>
      <c r="G37" s="99">
        <f ca="1">IF(OFFSET(Quarterly!D$1,Sheet1!$C31,0)="",OFFSET(Quarterly!E$1,Sheet1!$C31,0),OFFSET(Quarterly!D$1,Sheet1!$C31,0))</f>
        <v>6621.5</v>
      </c>
      <c r="H37" s="100">
        <f ca="1">(G37/G31-1)*100</f>
        <v>-7.3125342708136305</v>
      </c>
      <c r="I37" s="101">
        <f ca="1">OFFSET(Quarterly!F$1,Sheet1!$C31,0)</f>
        <v>14.219260124268548</v>
      </c>
      <c r="J37" s="100">
        <f ca="1">(I37/I31-1)*100</f>
        <v>-3.1143358763073392</v>
      </c>
      <c r="K37" s="107">
        <f ca="1">IF(OFFSET(Quarterly!G$1,Sheet1!$C31,0)="",OFFSET(Quarterly!N$1,Sheet1!$C31,0)&amp;"-"&amp;OFFSET(Quarterly!O$1,Sheet1!$C31,0),OFFSET(Quarterly!G$1,Sheet1!$C31,0))</f>
        <v>184.27</v>
      </c>
      <c r="L37" s="100">
        <f ca="1">IF(OFFSET(Quarterly!G$1,Sheet1!$C25,0)="",(OFFSET(Quarterly!P$1,Sheet1!$C31,0)/OFFSET(Quarterly!P$1,Sheet1!$C25,0)-1)*100,(OFFSET(Quarterly!P$1,Sheet1!$C31,0)/K31-1)*100)</f>
        <v>28.479791758663175</v>
      </c>
      <c r="M37" s="107">
        <f ca="1">IF(OFFSET(Quarterly!H$1,Sheet1!$C31,0)="",OFFSET(Quarterly!Q$1,Sheet1!$C31,0),OFFSET(Quarterly!H$1,Sheet1!$C31,0))</f>
        <v>252.81333333333336</v>
      </c>
      <c r="N37" s="107">
        <f ca="1">IF(OFFSET(Quarterly!I$1,Sheet1!$C31,0)="",OFFSET(Quarterly!R$1,Sheet1!$C31,0),OFFSET(Quarterly!I$1,Sheet1!$C31,0))</f>
        <v>280.85999999999996</v>
      </c>
    </row>
    <row r="38" spans="1:18" ht="18" customHeight="1">
      <c r="A38" s="89" t="s">
        <v>5</v>
      </c>
      <c r="C38" s="99">
        <f ca="1">IF(OFFSET(Quarterly!B$1,Sheet1!$C32,0)="",OFFSET(Quarterly!L$1,Sheet1!$C32,0),OFFSET(Quarterly!B$1,Sheet1!$C32,0))</f>
        <v>8149.5078540183167</v>
      </c>
      <c r="D38" s="100">
        <f ca="1">(C38/C32-1)*100</f>
        <v>-4.0398936181513463</v>
      </c>
      <c r="E38" s="99">
        <f ca="1">IF(OFFSET(Quarterly!C$1,Sheet1!$C32,0)&gt;0,OFFSET(Quarterly!C$1,Sheet1!$C32,0),OFFSET(Quarterly!M$1,Sheet1!$C32,0))</f>
        <v>835.57195920524612</v>
      </c>
      <c r="F38" s="100">
        <f ca="1">(E38/E32-1)*100</f>
        <v>0.62788966014977188</v>
      </c>
      <c r="G38" s="99">
        <f ca="1">IF(OFFSET(Quarterly!D$1,Sheet1!$C32,0)="",OFFSET(Quarterly!E$1,Sheet1!$C32,0),OFFSET(Quarterly!D$1,Sheet1!$C32,0))</f>
        <v>6809.500244140625</v>
      </c>
      <c r="H38" s="100">
        <f ca="1">(G38/G32-1)*100</f>
        <v>-3.4373700323110046</v>
      </c>
      <c r="I38" s="101">
        <f ca="1">OFFSET(Quarterly!F$1,Sheet1!$C32,0)</f>
        <v>14.361327193882811</v>
      </c>
      <c r="J38" s="100">
        <f ca="1">(I38/I32-1)*100</f>
        <v>-0.99811756881706959</v>
      </c>
      <c r="K38" s="107">
        <f ca="1">IF(OFFSET(Quarterly!G$1,Sheet1!$C32,0)="",OFFSET(Quarterly!N$1,Sheet1!$C32,0)&amp;"-"&amp;OFFSET(Quarterly!O$1,Sheet1!$C32,0),OFFSET(Quarterly!G$1,Sheet1!$C32,0))</f>
        <v>177.93333333333331</v>
      </c>
      <c r="L38" s="100">
        <f ca="1">IF(OFFSET(Quarterly!G$1,Sheet1!$C26,0)="",(OFFSET(Quarterly!P$1,Sheet1!$C32,0)/OFFSET(Quarterly!P$1,Sheet1!$C26,0)-1)*100,(OFFSET(Quarterly!P$1,Sheet1!$C32,0)/K32-1)*100)</f>
        <v>18.305808531962175</v>
      </c>
      <c r="M38" s="107">
        <f ca="1">IF(OFFSET(Quarterly!H$1,Sheet1!$C32,0)="",OFFSET(Quarterly!Q$1,Sheet1!$C32,0),OFFSET(Quarterly!H$1,Sheet1!$C32,0))</f>
        <v>235.02666666666664</v>
      </c>
      <c r="N38" s="107">
        <f ca="1">IF(OFFSET(Quarterly!I$1,Sheet1!$C32,0)="",OFFSET(Quarterly!R$1,Sheet1!$C32,0),OFFSET(Quarterly!I$1,Sheet1!$C32,0))</f>
        <v>278.11333333333329</v>
      </c>
    </row>
    <row r="39" spans="1:18" ht="18">
      <c r="A39" s="89" t="s">
        <v>55</v>
      </c>
      <c r="B39" s="108"/>
      <c r="C39" s="99">
        <f ca="1">IF(OFFSET(Quarterly!B$1,Sheet1!$C32,0)="",SUM(C35:C38),OFFSET(Annual!B$1,Sheet1!$C33,0))</f>
        <v>32846.185227075897</v>
      </c>
      <c r="D39" s="100">
        <f ca="1">(C39/C33-1)*100</f>
        <v>-4.3093893930312603</v>
      </c>
      <c r="E39" s="99">
        <f ca="1">IF(OFFSET(Annual!C$1,Sheet1!$C33,0)=0,G39/C39*1000,OFFSET(Annual!C$1,Sheet1!$C33,0))</f>
        <v>821.07377007906632</v>
      </c>
      <c r="F39" s="100">
        <f ca="1">(E39/E33-1)*100</f>
        <v>-0.37826580166857582</v>
      </c>
      <c r="G39" s="99">
        <f ca="1">IF(OFFSET(Quarterly!D$1,Sheet1!$C32,0)="",SUM(G35:G38),OFFSET(Annual!D$1,Sheet1!$C33,0))</f>
        <v>26967.100341796875</v>
      </c>
      <c r="H39" s="100">
        <f ca="1">(G39/G33-1)*100</f>
        <v>-4.6785679098058974</v>
      </c>
      <c r="I39" s="101">
        <f ca="1">OFFSET(Annual!E$1,Sheet1!$C33,0)</f>
        <v>57.758146207563527</v>
      </c>
      <c r="J39" s="100">
        <f ca="1">(I39/I33-1)*100</f>
        <v>-1.8913146474055176</v>
      </c>
      <c r="K39" s="107">
        <f ca="1">IF(OFFSET(Quarterly!G$1,Sheet1!$C32,0)="",OFFSET(Annual!K$1,Sheet1!$C33,0)&amp;"-"&amp;OFFSET(Annual!L$1,Sheet1!$C33,0),AVERAGE(K35:K38))</f>
        <v>175.53416666666664</v>
      </c>
      <c r="L39" s="100">
        <f ca="1">IF(OFFSET(Annual!F$1,Sheet1!$C27,0)="",(OFFSET(Annual!M$1,Sheet1!$C33,0)/OFFSET(Annual!M$1,Sheet1!$C27,0)-1)*100,(OFFSET(Annual!M$1,Sheet1!$C33,0)/OFFSET(Annual!F$1,Sheet1!$C27,0)-1)*100)</f>
        <v>21.884359905124118</v>
      </c>
      <c r="M39" s="107">
        <f ca="1">IF(OFFSET(Annual!G$1,Sheet1!$C33,0)="",OFFSET(Annual!N$1,Sheet1!$C33,0),AVERAGE(M35:M38))</f>
        <v>221.88</v>
      </c>
      <c r="N39" s="107">
        <f ca="1">IF(OFFSET(Annual!H$1,Sheet1!$C33,0)="",OFFSET(Annual!O$1,Sheet1!$C33,0),AVERAGE(N35:N38))</f>
        <v>259.46333333333331</v>
      </c>
      <c r="P39" s="145"/>
    </row>
    <row r="40" spans="1:18" ht="18">
      <c r="A40" s="97">
        <f>+Sheet1!B34</f>
        <v>2024</v>
      </c>
      <c r="B40" s="109"/>
      <c r="D40" s="100"/>
      <c r="F40" s="100"/>
      <c r="G40" s="103"/>
      <c r="H40" s="100"/>
      <c r="I40" s="110"/>
      <c r="J40" s="100"/>
      <c r="K40" s="111"/>
      <c r="L40" s="100"/>
      <c r="M40" s="112"/>
      <c r="N40" s="107"/>
    </row>
    <row r="41" spans="1:18" ht="18" customHeight="1">
      <c r="A41" s="89" t="s">
        <v>2</v>
      </c>
      <c r="C41" s="99">
        <f ca="1">IF(OFFSET(Quarterly!B$1,Sheet1!$C35,0)="",OFFSET(Quarterly!L$1,Sheet1!$C35,0),OFFSET(Quarterly!B$1,Sheet1!$C35,0))</f>
        <v>7853.2998952375965</v>
      </c>
      <c r="D41" s="100">
        <f ca="1">IF(C41=0,"",(C41/C35-1)*100)</f>
        <v>-5.5764625464004851</v>
      </c>
      <c r="E41" s="99">
        <f ca="1">IF(OFFSET(Quarterly!C$1,Sheet1!$C35,0)&gt;0,OFFSET(Quarterly!C$1,Sheet1!$C35,0),OFFSET(Quarterly!M$1,Sheet1!$C35,0))</f>
        <v>835.29218753076316</v>
      </c>
      <c r="F41" s="100">
        <f ca="1">IF(E41=0,"",(E41/E35-1)*100)</f>
        <v>1.807007450629361</v>
      </c>
      <c r="G41" s="99">
        <f ca="1">IF(OFFSET(Quarterly!D$1,Sheet1!$C35,0)="",OFFSET(Quarterly!E$1,Sheet1!$C35,0),OFFSET(Quarterly!D$1,Sheet1!$C35,0))</f>
        <v>6559.800048828125</v>
      </c>
      <c r="H41" s="100">
        <f ca="1">IF(G41=0,"",(G41/G35-1)*100)</f>
        <v>-3.8702221894661326</v>
      </c>
      <c r="I41" s="101">
        <f ca="1">OFFSET(Quarterly!F$1,Sheet1!$C35,0)</f>
        <v>14.726957629685696</v>
      </c>
      <c r="J41" s="100">
        <f ca="1">IF(I41=0,"",(I41/I35-1)*100)</f>
        <v>-0.68519769923811591</v>
      </c>
      <c r="K41" s="107">
        <f ca="1">IF(OFFSET(Quarterly!G$1,Sheet1!$C35,0)="",OFFSET(Quarterly!N$1,Sheet1!$C35,0)&amp;"-"&amp;OFFSET(Quarterly!O$1,Sheet1!$C35,0),OFFSET(Quarterly!G$1,Sheet1!$C35,0))</f>
        <v>181.0333333333333</v>
      </c>
      <c r="L41" s="100">
        <f ca="1">IF(OFFSET(Quarterly!G$1,Sheet1!$C29,0)="",(OFFSET(Quarterly!P$1,Sheet1!$C35,0)/OFFSET(Quarterly!P$1,Sheet1!$C29,0)-1)*100,(OFFSET(Quarterly!P$1,Sheet1!$C35,0)/K35-1)*100)</f>
        <v>12.169860176074575</v>
      </c>
      <c r="M41" s="107">
        <f ca="1">IF(OFFSET(Quarterly!H$1,Sheet1!$C35,0)="",OFFSET(Quarterly!Q$1,Sheet1!$C35,0),OFFSET(Quarterly!H$1,Sheet1!$C35,0))</f>
        <v>247.32333333333335</v>
      </c>
      <c r="N41" s="107">
        <f ca="1">IF(OFFSET(Quarterly!I$1,Sheet1!$C35,0)="",OFFSET(Quarterly!R$1,Sheet1!$C35,0),OFFSET(Quarterly!I$1,Sheet1!$C35,0))</f>
        <v>311.48666666666668</v>
      </c>
      <c r="Q41" s="145"/>
      <c r="R41" s="145"/>
    </row>
    <row r="42" spans="1:18" ht="18" customHeight="1">
      <c r="A42" s="89" t="s">
        <v>3</v>
      </c>
      <c r="B42" s="106" t="s">
        <v>110</v>
      </c>
      <c r="C42" s="99">
        <f ca="1">IF(OFFSET(Quarterly!B$1,Sheet1!$C36,0)="",OFFSET(Quarterly!L$1,Sheet1!$C36,0),OFFSET(Quarterly!B$1,Sheet1!$C36,0))</f>
        <v>7841.4444338959784</v>
      </c>
      <c r="D42" s="100">
        <f ca="1">IF(C42=0,"",(C42/C36-1)*100)</f>
        <v>-5.3091428360569459</v>
      </c>
      <c r="E42" s="99">
        <f ca="1">IF(OFFSET(Quarterly!C$1,Sheet1!$C36,0)&gt;0,OFFSET(Quarterly!C$1,Sheet1!$C36,0),OFFSET(Quarterly!M$1,Sheet1!$C36,0))</f>
        <v>836.21790665926358</v>
      </c>
      <c r="F42" s="100">
        <f ca="1">IF(E42=0,"",(E42/E36-1)*100)</f>
        <v>3.1674269943966271</v>
      </c>
      <c r="G42" s="99">
        <f ca="1">IF(OFFSET(Quarterly!D$1,Sheet1!$C36,0)="",OFFSET(Quarterly!E$1,Sheet1!$C36,0),OFFSET(Quarterly!D$1,Sheet1!$C36,0))</f>
        <v>6557.1562496974293</v>
      </c>
      <c r="H42" s="100">
        <f ca="1">IF(G42=0,"",(G42/G36-1)*100)</f>
        <v>-2.3098790650206591</v>
      </c>
      <c r="I42" s="101">
        <f ca="1">OFFSET(Quarterly!F$1,Sheet1!$C36,0)</f>
        <v>14.197259658975714</v>
      </c>
      <c r="J42" s="100">
        <f ca="1">IF(I42=0,"",(I42/I36-1)*100)</f>
        <v>-1.0682282323623782</v>
      </c>
      <c r="K42" s="107" t="str">
        <f ca="1">IF(OFFSET(Quarterly!G$1,Sheet1!$C36,0)="",OFFSET(Quarterly!N$1,Sheet1!$C36,0)&amp;"-"&amp;OFFSET(Quarterly!O$1,Sheet1!$C36,0),OFFSET(Quarterly!G$1,Sheet1!$C36,0))</f>
        <v>186-188</v>
      </c>
      <c r="L42" s="100">
        <f ca="1">IF(OFFSET(Quarterly!G$1,Sheet1!$C30,0)="",(OFFSET(Quarterly!P$1,Sheet1!$C36,0)/OFFSET(Quarterly!P$1,Sheet1!$C30,0)-1)*100,(OFFSET(Quarterly!P$1,Sheet1!$C36,0)/K36-1)*100)</f>
        <v>4.4595475281631325</v>
      </c>
      <c r="M42" s="107" t="str">
        <f ca="1">IF(OFFSET(Quarterly!H$1,Sheet1!$C36,0)="",OFFSET(Quarterly!Q$1,Sheet1!$C36,0),OFFSET(Quarterly!H$1,Sheet1!$C36,0))</f>
        <v>256-259</v>
      </c>
      <c r="N42" s="107" t="str">
        <f ca="1">IF(OFFSET(Quarterly!I$1,Sheet1!$C36,0)="",OFFSET(Quarterly!R$1,Sheet1!$C36,0),OFFSET(Quarterly!I$1,Sheet1!$C36,0))</f>
        <v>321-323</v>
      </c>
      <c r="Q42" s="145"/>
      <c r="R42" s="145"/>
    </row>
    <row r="43" spans="1:18" ht="18" customHeight="1">
      <c r="A43" s="89" t="s">
        <v>4</v>
      </c>
      <c r="B43" s="106" t="s">
        <v>111</v>
      </c>
      <c r="C43" s="99">
        <f ca="1">IF(OFFSET(Quarterly!B$1,Sheet1!$C37,0)="",OFFSET(Quarterly!L$1,Sheet1!$C37,0),OFFSET(Quarterly!B$1,Sheet1!$C37,0))</f>
        <v>7511.4656976083597</v>
      </c>
      <c r="D43" s="100">
        <f ca="1">IF(C43=0,"",(C43/C37-1)*100)</f>
        <v>-7.2484236251033725</v>
      </c>
      <c r="E43" s="99">
        <f ca="1">IF(OFFSET(Quarterly!C$1,Sheet1!$C37,0)&gt;0,OFFSET(Quarterly!C$1,Sheet1!$C37,0),OFFSET(Quarterly!M$1,Sheet1!$C37,0))</f>
        <v>832.54374078544367</v>
      </c>
      <c r="F43" s="100">
        <f ca="1">IF(E43=0,"",(E43/E37-1)*100)</f>
        <v>1.8249171749744386</v>
      </c>
      <c r="G43" s="99">
        <f ca="1">IF(OFFSET(Quarterly!D$1,Sheet1!$C37,0)="",OFFSET(Quarterly!E$1,Sheet1!$C37,0),OFFSET(Quarterly!D$1,Sheet1!$C37,0))</f>
        <v>6253.6237506684065</v>
      </c>
      <c r="H43" s="100">
        <f ca="1">IF(G43=0,"",(G43/G37-1)*100)</f>
        <v>-5.5557841777783556</v>
      </c>
      <c r="I43" s="101">
        <f ca="1">OFFSET(Quarterly!F$1,Sheet1!$C37,0)</f>
        <v>13.876692855343297</v>
      </c>
      <c r="J43" s="100">
        <f ca="1">IF(I43=0,"",(I43/I37-1)*100)</f>
        <v>-2.4091778751594739</v>
      </c>
      <c r="K43" s="107" t="str">
        <f ca="1">IF(OFFSET(Quarterly!G$1,Sheet1!$C37,0)="",OFFSET(Quarterly!N$1,Sheet1!$C37,0)&amp;"-"&amp;OFFSET(Quarterly!O$1,Sheet1!$C37,0),OFFSET(Quarterly!G$1,Sheet1!$C37,0))</f>
        <v>190-195</v>
      </c>
      <c r="L43" s="100">
        <f ca="1">IF(OFFSET(Quarterly!G$1,Sheet1!$C31,0)="",(OFFSET(Quarterly!P$1,Sheet1!$C37,0)/OFFSET(Quarterly!P$1,Sheet1!$C31,0)-1)*100,(OFFSET(Quarterly!P$1,Sheet1!$C37,0)/K37-1)*100)</f>
        <v>4.4662723177945285</v>
      </c>
      <c r="M43" s="107" t="str">
        <f ca="1">IF(OFFSET(Quarterly!H$1,Sheet1!$C37,0)="",OFFSET(Quarterly!Q$1,Sheet1!$C37,0),OFFSET(Quarterly!H$1,Sheet1!$C37,0))</f>
        <v>275-285</v>
      </c>
      <c r="N43" s="107" t="str">
        <f ca="1">IF(OFFSET(Quarterly!I$1,Sheet1!$C37,0)="",OFFSET(Quarterly!R$1,Sheet1!$C37,0),OFFSET(Quarterly!I$1,Sheet1!$C37,0))</f>
        <v>320-325</v>
      </c>
    </row>
    <row r="44" spans="1:18" ht="18" customHeight="1">
      <c r="A44" s="89" t="s">
        <v>5</v>
      </c>
      <c r="C44" s="99">
        <f ca="1">IF(OFFSET(Quarterly!B$1,Sheet1!$C38,0)="",OFFSET(Quarterly!L$1,Sheet1!$C38,0),OFFSET(Quarterly!B$1,Sheet1!$C38,0))</f>
        <v>7480.0617001038354</v>
      </c>
      <c r="D44" s="100">
        <f ca="1">IF(C44=0,"",(C44/C38-1)*100)</f>
        <v>-8.2145592826736724</v>
      </c>
      <c r="E44" s="99">
        <f ca="1">IF(OFFSET(Quarterly!C$1,Sheet1!$C38,0)&gt;0,OFFSET(Quarterly!C$1,Sheet1!$C38,0),OFFSET(Quarterly!M$1,Sheet1!$C38,0))</f>
        <v>852.76647846644244</v>
      </c>
      <c r="F44" s="100">
        <f ca="1">IF(E44=0,"",(E44/E38-1)*100)</f>
        <v>2.0578142997463633</v>
      </c>
      <c r="G44" s="99">
        <f ca="1">IF(OFFSET(Quarterly!D$1,Sheet1!$C38,0)="",OFFSET(Quarterly!E$1,Sheet1!$C38,0),OFFSET(Quarterly!D$1,Sheet1!$C38,0))</f>
        <v>6378.7458747092587</v>
      </c>
      <c r="H44" s="100">
        <f ca="1">IF(G44=0,"",(G44/G38-1)*100)</f>
        <v>-6.3257853585072965</v>
      </c>
      <c r="I44" s="101">
        <f ca="1">OFFSET(Quarterly!F$1,Sheet1!$C38,0)</f>
        <v>13.986929947650243</v>
      </c>
      <c r="J44" s="100">
        <f ca="1">IF(I44=0,"",(I44/I38-1)*100)</f>
        <v>-2.606982218134013</v>
      </c>
      <c r="K44" s="107" t="str">
        <f ca="1">IF(OFFSET(Quarterly!G$1,Sheet1!$C38,0)="",OFFSET(Quarterly!N$1,Sheet1!$C38,0)&amp;"-"&amp;OFFSET(Quarterly!O$1,Sheet1!$C38,0),OFFSET(Quarterly!G$1,Sheet1!$C38,0))</f>
        <v>205-210</v>
      </c>
      <c r="L44" s="100">
        <f ca="1">IF(OFFSET(Quarterly!G$1,Sheet1!$C32,0)="",(OFFSET(Quarterly!P$1,Sheet1!$C38,0)/OFFSET(Quarterly!P$1,Sheet1!$C32,0)-1)*100,(OFFSET(Quarterly!P$1,Sheet1!$C38,0)/K38-1)*100)</f>
        <v>16.616710378418897</v>
      </c>
      <c r="M44" s="107" t="str">
        <f ca="1">IF(OFFSET(Quarterly!H$1,Sheet1!$C38,0)="",OFFSET(Quarterly!Q$1,Sheet1!$C38,0),OFFSET(Quarterly!H$1,Sheet1!$C38,0))</f>
        <v>280-290</v>
      </c>
      <c r="N44" s="107" t="str">
        <f ca="1">IF(OFFSET(Quarterly!I$1,Sheet1!$C38,0)="",OFFSET(Quarterly!R$1,Sheet1!$C38,0),OFFSET(Quarterly!I$1,Sheet1!$C38,0))</f>
        <v>325-330</v>
      </c>
    </row>
    <row r="45" spans="1:18" ht="18">
      <c r="A45" s="97" t="s">
        <v>55</v>
      </c>
      <c r="B45" s="109"/>
      <c r="C45" s="99">
        <f ca="1">IF(OFFSET(Quarterly!B$1,Sheet1!$C38,0)="",SUM(C41:C44),OFFSET(Annual!B$1,Sheet1!$C39,0))</f>
        <v>30686.271726845771</v>
      </c>
      <c r="D45" s="100">
        <f ca="1">IF(C45=0,"",(C45/C39-1)*100)</f>
        <v>-6.5758427814309961</v>
      </c>
      <c r="E45" s="99">
        <f ca="1">IF(OFFSET(Annual!C$1,Sheet1!$C39,0)=0,G45/C45*1000,OFFSET(Annual!C$1,Sheet1!$C39,0))</f>
        <v>839.11548959453808</v>
      </c>
      <c r="F45" s="100">
        <f ca="1">IF(E45=0,"",(E45/E39-1)*100)</f>
        <v>2.1973323436862868</v>
      </c>
      <c r="G45" s="99">
        <f ca="1">IF(OFFSET(Quarterly!D$1,Sheet1!$C38,0)="",SUM(G41:G44),OFFSET(Annual!D$1,Sheet1!$C39,0))</f>
        <v>25749.32592390322</v>
      </c>
      <c r="H45" s="100">
        <f ca="1">IF(G45=0,"",(G45/G39-1)*100)</f>
        <v>-4.5157781239320016</v>
      </c>
      <c r="I45" s="101">
        <f ca="1">OFFSET(Annual!E$1,Sheet1!$C39,0)</f>
        <v>56.785395641851466</v>
      </c>
      <c r="J45" s="100">
        <f ca="1">IF(I45=0,"",(I45/I39-1)*100)</f>
        <v>-1.6841789939315621</v>
      </c>
      <c r="K45" s="107" t="str">
        <f ca="1">IF(OFFSET(Quarterly!G$1,Sheet1!$C38,0)="",OFFSET(Annual!K$1,Sheet1!$C39,0)&amp;"-"&amp;OFFSET(Annual!L$1,Sheet1!$C39,0),AVERAGE(K41:K44))</f>
        <v>190-193</v>
      </c>
      <c r="L45" s="100">
        <f ca="1">IF(OFFSET(Annual!F$1,Sheet1!$C33,0)="",(OFFSET(Annual!M$1,Sheet1!$C39,0)/OFFSET(Annual!M$1,Sheet1!$C33,0)-1)*100,(OFFSET(Annual!M$1,Sheet1!$C39,0)/OFFSET(Annual!F$1,Sheet1!$C33,0)-1)*100)</f>
        <v>9.095570188140023</v>
      </c>
      <c r="M45" s="107" t="str">
        <f ca="1">IF(OFFSET(Annual!G$1,Sheet1!$C39,0)="",OFFSET(Annual!N$1,Sheet1!$C39,0),AVERAGE(M41:M44))</f>
        <v>266-268</v>
      </c>
      <c r="N45" s="107" t="str">
        <f ca="1">IF(OFFSET(Annual!H$1,Sheet1!$C39,0)="",OFFSET(Annual!O$1,Sheet1!$C39,0),AVERAGE(N41:N44))</f>
        <v>319-321</v>
      </c>
      <c r="O45" s="90"/>
      <c r="Q45" s="146"/>
      <c r="R45" s="146"/>
    </row>
    <row r="46" spans="1:18" s="90" customFormat="1" ht="18">
      <c r="A46" s="97">
        <f>+Sheet1!B40</f>
        <v>2025</v>
      </c>
      <c r="B46" s="109"/>
      <c r="C46" s="103"/>
      <c r="D46" s="100"/>
      <c r="E46" s="103"/>
      <c r="F46" s="100"/>
      <c r="G46" s="103"/>
      <c r="H46" s="100"/>
      <c r="I46" s="110"/>
      <c r="J46" s="100"/>
      <c r="K46" s="111"/>
      <c r="L46" s="100"/>
      <c r="M46" s="107"/>
      <c r="N46" s="107"/>
    </row>
    <row r="47" spans="1:18" s="90" customFormat="1" ht="18" customHeight="1">
      <c r="A47" s="89" t="s">
        <v>2</v>
      </c>
      <c r="B47" s="106"/>
      <c r="C47" s="99">
        <f ca="1">IF(OFFSET(Quarterly!B$1,Sheet1!$C41,0)="",OFFSET(Quarterly!L$1,Sheet1!$C41,0),OFFSET(Quarterly!B$1,Sheet1!$C41,0))</f>
        <v>7332.5639044283007</v>
      </c>
      <c r="D47" s="100">
        <f ca="1">IF(C47=0,"",(C47/C41-1)*100)</f>
        <v>-6.6307921224946558</v>
      </c>
      <c r="E47" s="99">
        <f ca="1">IF(OFFSET(Quarterly!C$1,Sheet1!$C41,0)&gt;0,OFFSET(Quarterly!C$1,Sheet1!$C41,0),OFFSET(Quarterly!M$1,Sheet1!$C41,0))</f>
        <v>843.53119949744598</v>
      </c>
      <c r="F47" s="100">
        <f ca="1">IF(E47=0,"",(E47/E41-1)*100)</f>
        <v>0.98636286675186646</v>
      </c>
      <c r="G47" s="99">
        <f ca="1">IF(OFFSET(Quarterly!D$1,Sheet1!$C41,0)="",OFFSET(Quarterly!E$1,Sheet1!$C41,0),OFFSET(Quarterly!D$1,Sheet1!$C41,0))</f>
        <v>6185.2464256940812</v>
      </c>
      <c r="H47" s="100">
        <f ca="1">IF(G47=0,"",(G47/G41-1)*100)</f>
        <v>-5.7098329270105719</v>
      </c>
      <c r="I47" s="101">
        <f ca="1">OFFSET(Quarterly!F$1,Sheet1!$C41,0)</f>
        <v>13.918958819851605</v>
      </c>
      <c r="J47" s="100">
        <f ca="1">IF(I47=0,"",(I47/I41-1)*100)</f>
        <v>-5.4865290588286602</v>
      </c>
      <c r="K47" s="107" t="str">
        <f ca="1">IF(OFFSET(Quarterly!G$1,Sheet1!$C41,0)="",OFFSET(Quarterly!N$1,Sheet1!$C41,0)&amp;"-"&amp;OFFSET(Quarterly!O$1,Sheet1!$C41,0),OFFSET(Quarterly!G$1,Sheet1!$C41,0))</f>
        <v>190-205</v>
      </c>
      <c r="L47" s="100">
        <f ca="1">IF(OFFSET(Quarterly!G$1,Sheet1!$C35,0)="",(OFFSET(Quarterly!P$1,Sheet1!$C41,0)/OFFSET(Quarterly!P$1,Sheet1!$C35,0)-1)*100,(OFFSET(Quarterly!P$1,Sheet1!$C41,0)/K41-1)*100)</f>
        <v>9.0959307678144086</v>
      </c>
      <c r="M47" s="107" t="str">
        <f ca="1">IF(OFFSET(Quarterly!H$1,Sheet1!$C41,0)="",OFFSET(Quarterly!Q$1,Sheet1!$C41,0),OFFSET(Quarterly!H$1,Sheet1!$C41,0))</f>
        <v>265-280</v>
      </c>
      <c r="N47" s="107" t="str">
        <f ca="1">IF(OFFSET(Quarterly!I$1,Sheet1!$C41,0)="",OFFSET(Quarterly!R$1,Sheet1!$C41,0),OFFSET(Quarterly!I$1,Sheet1!$C41,0))</f>
        <v>320-330</v>
      </c>
    </row>
    <row r="48" spans="1:18" s="90" customFormat="1" ht="18" customHeight="1">
      <c r="A48" s="89" t="s">
        <v>3</v>
      </c>
      <c r="B48" s="106"/>
      <c r="C48" s="99">
        <f ca="1">IF(OFFSET(Quarterly!B$1,Sheet1!$C42,0)="",OFFSET(Quarterly!L$1,Sheet1!$C42,0),OFFSET(Quarterly!B$1,Sheet1!$C42,0))</f>
        <v>7356.505736932083</v>
      </c>
      <c r="D48" s="100">
        <f ca="1">IF(C48=0,"",(C48/C42-1)*100)</f>
        <v>-6.1843031733753717</v>
      </c>
      <c r="E48" s="99">
        <f ca="1">IF(OFFSET(Quarterly!C$1,Sheet1!$C42,0)&gt;0,OFFSET(Quarterly!C$1,Sheet1!$C42,0),OFFSET(Quarterly!M$1,Sheet1!$C42,0))</f>
        <v>843.90332035332881</v>
      </c>
      <c r="F48" s="100">
        <f ca="1">IF(E48=0,"",(E48/E42-1)*100)</f>
        <v>0.91906829940642254</v>
      </c>
      <c r="G48" s="99">
        <f ca="1">IF(OFFSET(Quarterly!D$1,Sheet1!$C42,0)="",OFFSET(Quarterly!E$1,Sheet1!$C42,0),OFFSET(Quarterly!D$1,Sheet1!$C42,0))</f>
        <v>6208.1796175952968</v>
      </c>
      <c r="H48" s="100">
        <f ca="1">IF(G48=0,"",(G48/G42-1)*100)</f>
        <v>-5.3220728439746345</v>
      </c>
      <c r="I48" s="101">
        <f ca="1">OFFSET(Quarterly!F$1,Sheet1!$C42,0)</f>
        <v>13.569164958467749</v>
      </c>
      <c r="J48" s="100">
        <f ca="1">IF(I48=0,"",(I48/I42-1)*100)</f>
        <v>-4.4240558783530837</v>
      </c>
      <c r="K48" s="107" t="str">
        <f ca="1">IF(OFFSET(Quarterly!G$1,Sheet1!$C42,0)="",OFFSET(Quarterly!N$1,Sheet1!$C42,0)&amp;"-"&amp;OFFSET(Quarterly!O$1,Sheet1!$C42,0),OFFSET(Quarterly!G$1,Sheet1!$C42,0))</f>
        <v>200-215</v>
      </c>
      <c r="L48" s="100">
        <f ca="1">IF(OFFSET(Quarterly!G$1,Sheet1!$C36,0)="",(OFFSET(Quarterly!P$1,Sheet1!$C42,0)/OFFSET(Quarterly!P$1,Sheet1!$C36,0)-1)*100,(OFFSET(Quarterly!P$1,Sheet1!$C42,0)/K42-1)*100)</f>
        <v>10.962566844919785</v>
      </c>
      <c r="M48" s="107" t="str">
        <f ca="1">IF(OFFSET(Quarterly!H$1,Sheet1!$C42,0)="",OFFSET(Quarterly!Q$1,Sheet1!$C42,0),OFFSET(Quarterly!H$1,Sheet1!$C42,0))</f>
        <v>280-295</v>
      </c>
      <c r="N48" s="107" t="str">
        <f ca="1">IF(OFFSET(Quarterly!I$1,Sheet1!$C42,0)="",OFFSET(Quarterly!R$1,Sheet1!$C42,0),OFFSET(Quarterly!I$1,Sheet1!$C42,0))</f>
        <v>310-320</v>
      </c>
    </row>
    <row r="49" spans="1:18" s="90" customFormat="1" ht="18">
      <c r="A49" s="89" t="s">
        <v>4</v>
      </c>
      <c r="B49" s="108"/>
      <c r="C49" s="99">
        <f ca="1">IF(OFFSET(Quarterly!B$1,Sheet1!$C43,0)="",OFFSET(Quarterly!L$1,Sheet1!$C43,0),OFFSET(Quarterly!B$1,Sheet1!$C43,0))</f>
        <v>7187.8201322116802</v>
      </c>
      <c r="D49" s="100">
        <f ca="1">IF(C49=0,"",(C49/C43-1)*100)</f>
        <v>-4.3086872579305986</v>
      </c>
      <c r="E49" s="99">
        <f ca="1">IF(OFFSET(Quarterly!C$1,Sheet1!$C43,0)&gt;0,OFFSET(Quarterly!C$1,Sheet1!$C43,0),OFFSET(Quarterly!M$1,Sheet1!$C43,0))</f>
        <v>840.88129735960285</v>
      </c>
      <c r="F49" s="100">
        <f ca="1">IF(E49=0,"",(E49/E43-1)*100)</f>
        <v>1.0014556792287355</v>
      </c>
      <c r="G49" s="99">
        <f ca="1">IF(OFFSET(Quarterly!D$1,Sheet1!$C43,0)="",OFFSET(Quarterly!E$1,Sheet1!$C43,0),OFFSET(Quarterly!D$1,Sheet1!$C43,0))</f>
        <v>6044.1035179616292</v>
      </c>
      <c r="H49" s="100">
        <f ca="1">IF(G49=0,"",(G49/G43-1)*100)</f>
        <v>-3.350381171946637</v>
      </c>
      <c r="I49" s="101">
        <f ca="1">OFFSET(Quarterly!F$1,Sheet1!$C43,0)</f>
        <v>13.521418872807802</v>
      </c>
      <c r="J49" s="100">
        <f ca="1">IF(I49=0,"",(I49/I43-1)*100)</f>
        <v>-2.5602208410824279</v>
      </c>
      <c r="K49" s="107" t="str">
        <f ca="1">IF(OFFSET(Quarterly!G$1,Sheet1!$C43,0)="",OFFSET(Quarterly!N$1,Sheet1!$C43,0)&amp;"-"&amp;OFFSET(Quarterly!O$1,Sheet1!$C43,0),OFFSET(Quarterly!G$1,Sheet1!$C43,0))</f>
        <v>195-210</v>
      </c>
      <c r="L49" s="100">
        <f ca="1">IF(OFFSET(Quarterly!G$1,Sheet1!$C37,0)="",(OFFSET(Quarterly!P$1,Sheet1!$C43,0)/OFFSET(Quarterly!P$1,Sheet1!$C37,0)-1)*100,(OFFSET(Quarterly!P$1,Sheet1!$C43,0)/K43-1)*100)</f>
        <v>5.1948051948051965</v>
      </c>
      <c r="M49" s="107" t="str">
        <f ca="1">IF(OFFSET(Quarterly!H$1,Sheet1!$C43,0)="",OFFSET(Quarterly!Q$1,Sheet1!$C43,0),OFFSET(Quarterly!H$1,Sheet1!$C43,0))</f>
        <v>285-300</v>
      </c>
      <c r="N49" s="107" t="str">
        <f ca="1">IF(OFFSET(Quarterly!I$1,Sheet1!$C43,0)="",OFFSET(Quarterly!R$1,Sheet1!$C43,0),OFFSET(Quarterly!I$1,Sheet1!$C43,0))</f>
        <v>315-330</v>
      </c>
    </row>
    <row r="50" spans="1:18" s="90" customFormat="1" ht="18">
      <c r="A50" s="89" t="s">
        <v>5</v>
      </c>
      <c r="B50" s="108"/>
      <c r="C50" s="99">
        <f ca="1">IF(OFFSET(Quarterly!B$1,Sheet1!$C44,0)="",OFFSET(Quarterly!L$1,Sheet1!$C44,0),OFFSET(Quarterly!B$1,Sheet1!$C44,0))</f>
        <v>7115.4123619306829</v>
      </c>
      <c r="D50" s="100">
        <f ca="1">IF(C50=0,"",(C50/C44-1)*100)</f>
        <v>-4.8749509401518782</v>
      </c>
      <c r="E50" s="99">
        <f ca="1">IF(OFFSET(Quarterly!C$1,Sheet1!$C44,0)&gt;0,OFFSET(Quarterly!C$1,Sheet1!$C44,0),OFFSET(Quarterly!M$1,Sheet1!$C44,0))</f>
        <v>861.12519389765237</v>
      </c>
      <c r="F50" s="100">
        <f ca="1">IF(E50=0,"",(E50/E44-1)*100)</f>
        <v>0.9801880869240609</v>
      </c>
      <c r="G50" s="99">
        <f ca="1">IF(OFFSET(Quarterly!D$1,Sheet1!$C44,0)="",OFFSET(Quarterly!E$1,Sheet1!$C44,0),OFFSET(Quarterly!D$1,Sheet1!$C44,0))</f>
        <v>6127.2608498293121</v>
      </c>
      <c r="H50" s="100">
        <f ca="1">IF(G50=0,"",(G50/G44-1)*100)</f>
        <v>-3.9425465415865779</v>
      </c>
      <c r="I50" s="101">
        <f ca="1">OFFSET(Quarterly!F$1,Sheet1!$C44,0)</f>
        <v>13.56158008467929</v>
      </c>
      <c r="J50" s="100">
        <f ca="1">IF(I50=0,"",(I50/I44-1)*100)</f>
        <v>-3.0410523579008086</v>
      </c>
      <c r="K50" s="107" t="str">
        <f ca="1">IF(OFFSET(Quarterly!G$1,Sheet1!$C44,0)="",OFFSET(Quarterly!N$1,Sheet1!$C44,0)&amp;"-"&amp;OFFSET(Quarterly!O$1,Sheet1!$C44,0),OFFSET(Quarterly!G$1,Sheet1!$C44,0))</f>
        <v>225-240</v>
      </c>
      <c r="L50" s="100">
        <f ca="1">IF(OFFSET(Quarterly!G$1,Sheet1!$C38,0)="",(OFFSET(Quarterly!P$1,Sheet1!$C44,0)/OFFSET(Quarterly!P$1,Sheet1!$C38,0)-1)*100,(OFFSET(Quarterly!P$1,Sheet1!$C44,0)/K44-1)*100)</f>
        <v>12.048192771084331</v>
      </c>
      <c r="M50" s="107" t="str">
        <f ca="1">IF(OFFSET(Quarterly!H$1,Sheet1!$C44,0)="",OFFSET(Quarterly!Q$1,Sheet1!$C44,0),OFFSET(Quarterly!H$1,Sheet1!$C44,0))</f>
        <v>275-290</v>
      </c>
      <c r="N50" s="107" t="str">
        <f ca="1">IF(OFFSET(Quarterly!I$1,Sheet1!$C44,0)="",OFFSET(Quarterly!R$1,Sheet1!$C44,0),OFFSET(Quarterly!I$1,Sheet1!$C44,0))</f>
        <v>325-340</v>
      </c>
    </row>
    <row r="51" spans="1:18" s="90" customFormat="1" ht="18">
      <c r="A51" s="89" t="s">
        <v>55</v>
      </c>
      <c r="B51" s="93"/>
      <c r="C51" s="99">
        <f ca="1">IF(OFFSET(Quarterly!B$1,Sheet1!$C44,0)="",SUM(C47:C50),OFFSET(Annual!B$1,Sheet1!$C45,0))</f>
        <v>28992.302135502745</v>
      </c>
      <c r="D51" s="100">
        <f ca="1">IF(C51=0,"",(C51/C45-1)*100)</f>
        <v>-5.5202847919158078</v>
      </c>
      <c r="E51" s="99">
        <f ca="1">IF(OFFSET(Annual!C$1,Sheet1!$C45,0)=0,G51/C51*1000,OFFSET(Annual!C$1,Sheet1!$C45,0))</f>
        <v>847.28664513327215</v>
      </c>
      <c r="F51" s="100">
        <f ca="1">IF(E51=0,"",(E51/E45-1)*100)</f>
        <v>0.97378199307014413</v>
      </c>
      <c r="G51" s="99">
        <f ca="1">IF(OFFSET(Quarterly!D$1,Sheet1!$C44,0)="",SUM(G47:G50),OFFSET(Annual!D$1,Sheet1!$C45,0))</f>
        <v>24564.790411080321</v>
      </c>
      <c r="H51" s="100">
        <f ca="1">IF(G51=0,"",(G51/G45-1)*100)</f>
        <v>-4.6002583381155144</v>
      </c>
      <c r="I51" s="101">
        <f ca="1">OFFSET(Annual!E$1,Sheet1!$C45,0)</f>
        <v>54.569992773737034</v>
      </c>
      <c r="J51" s="100">
        <f ca="1">IF(I51=0,"",(I51/I45-1)*100)</f>
        <v>-3.901360275953869</v>
      </c>
      <c r="K51" s="107" t="str">
        <f ca="1">IF(OFFSET(Quarterly!G$1,Sheet1!$C44,0)="",OFFSET(Annual!K$1,Sheet1!$C45,0)&amp;"-"&amp;OFFSET(Annual!L$1,Sheet1!$C45,0),AVERAGE(K47:K50))</f>
        <v>208-212</v>
      </c>
      <c r="L51" s="100">
        <f ca="1">IF(OFFSET(Annual!F$1,Sheet1!$C39,0)="",(OFFSET(Annual!M$1,Sheet1!$C45,0)/OFFSET(Annual!M$1,Sheet1!$C39,0)-1)*100,(OFFSET(Annual!M$1,Sheet1!$C45,0)/OFFSET(Annual!F$1,Sheet1!$C39,0)-1)*100)</f>
        <v>9.6605744125326289</v>
      </c>
      <c r="M51" s="107" t="str">
        <f ca="1">IF(OFFSET(Annual!G$1,Sheet1!$C45,0)="",OFFSET(Annual!N$1,Sheet1!$C45,0),AVERAGE(M47:M50))</f>
        <v>282-287</v>
      </c>
      <c r="N51" s="107" t="str">
        <f ca="1">IF(OFFSET(Annual!H$1,Sheet1!$C45,0)="",OFFSET(Annual!O$1,Sheet1!$C45,0),AVERAGE(N47:N50))</f>
        <v>322-324</v>
      </c>
      <c r="P51" s="79"/>
      <c r="Q51" s="147"/>
      <c r="R51" s="147"/>
    </row>
    <row r="52" spans="1:18" s="133" customFormat="1" ht="15.75" thickBot="1">
      <c r="A52" s="131"/>
      <c r="B52" s="131"/>
      <c r="C52" s="131"/>
      <c r="D52" s="131"/>
      <c r="E52" s="131"/>
      <c r="F52" s="132"/>
      <c r="G52" s="131"/>
      <c r="H52" s="131"/>
      <c r="I52" s="131"/>
      <c r="J52" s="131"/>
      <c r="K52" s="131"/>
      <c r="L52" s="131"/>
      <c r="M52" s="131"/>
      <c r="N52" s="131"/>
      <c r="R52" s="167"/>
    </row>
    <row r="53" spans="1:18" ht="8.25" customHeight="1" thickTop="1">
      <c r="A53" s="88"/>
      <c r="B53" s="88"/>
      <c r="C53" s="88"/>
      <c r="D53" s="88"/>
      <c r="E53" s="88"/>
      <c r="F53" s="87"/>
      <c r="G53" s="88"/>
      <c r="H53" s="88"/>
      <c r="I53" s="88"/>
      <c r="J53" s="88"/>
      <c r="K53" s="88"/>
      <c r="L53" s="88"/>
      <c r="M53" s="88"/>
      <c r="N53" s="88"/>
    </row>
    <row r="54" spans="1:18" ht="17.25" customHeight="1">
      <c r="A54" s="113" t="s">
        <v>75</v>
      </c>
      <c r="B54" s="114"/>
      <c r="C54" s="88"/>
      <c r="D54" s="88"/>
      <c r="E54" s="88"/>
      <c r="F54" s="113" t="s">
        <v>77</v>
      </c>
      <c r="G54" s="88"/>
      <c r="H54" s="88"/>
      <c r="I54" s="113" t="s">
        <v>76</v>
      </c>
      <c r="J54" s="88"/>
      <c r="K54" s="113" t="s">
        <v>129</v>
      </c>
      <c r="L54" s="88"/>
      <c r="M54" s="88"/>
      <c r="N54" s="88"/>
    </row>
    <row r="55" spans="1:18" ht="17.25" customHeight="1">
      <c r="B55" s="114"/>
      <c r="C55" s="88"/>
      <c r="D55" s="88"/>
      <c r="E55" s="88"/>
      <c r="F55" s="115"/>
      <c r="G55" s="88"/>
      <c r="H55" s="88"/>
      <c r="I55" s="88"/>
      <c r="J55" s="88"/>
      <c r="K55" s="116"/>
      <c r="L55" s="88"/>
      <c r="M55" s="88"/>
      <c r="N55" s="88"/>
    </row>
    <row r="56" spans="1:18" ht="18">
      <c r="A56" s="114" t="s">
        <v>78</v>
      </c>
      <c r="B56" s="114"/>
      <c r="C56" s="88"/>
      <c r="D56" s="88"/>
      <c r="E56" s="88"/>
      <c r="F56" s="87"/>
      <c r="G56" s="88"/>
      <c r="H56" s="88"/>
      <c r="I56" s="88"/>
      <c r="J56" s="88"/>
      <c r="K56" s="88"/>
      <c r="L56" s="88"/>
      <c r="M56" s="88"/>
      <c r="N56" s="88"/>
    </row>
  </sheetData>
  <phoneticPr fontId="0" type="noConversion"/>
  <printOptions horizontalCentered="1" verticalCentered="1"/>
  <pageMargins left="0.5" right="0.5" top="0.7" bottom="0.6" header="0.5" footer="0.5"/>
  <pageSetup scale="10" orientation="landscape" horizontalDpi="4294967295" verticalDpi="4294967295" r:id="rId1"/>
  <headerFooter alignWithMargins="0">
    <oddFooter>&amp;R&amp;14Livestock Marketing Information Center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Mnth to Qtr</vt:lpstr>
      <vt:lpstr>Quarterly</vt:lpstr>
      <vt:lpstr>Annual</vt:lpstr>
      <vt:lpstr>tb1111</vt:lpstr>
    </vt:vector>
  </TitlesOfParts>
  <Company>Livestock Marketing Information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Lahr</dc:creator>
  <cp:lastModifiedBy>Katelyn McCullock</cp:lastModifiedBy>
  <cp:lastPrinted>2024-04-26T20:55:45Z</cp:lastPrinted>
  <dcterms:created xsi:type="dcterms:W3CDTF">2006-07-27T20:15:27Z</dcterms:created>
  <dcterms:modified xsi:type="dcterms:W3CDTF">2024-04-26T20:57:07Z</dcterms:modified>
</cp:coreProperties>
</file>