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LMICweb2023\tac\spreadsheets\hogs\"/>
    </mc:Choice>
  </mc:AlternateContent>
  <xr:revisionPtr revIDLastSave="0" documentId="13_ncr:1_{B0A43D7E-9E3B-4A66-959C-590E2E3F708D}" xr6:coauthVersionLast="47" xr6:coauthVersionMax="47" xr10:uidLastSave="{00000000-0000-0000-0000-000000000000}"/>
  <bookViews>
    <workbookView xWindow="-57720" yWindow="-120" windowWidth="29040" windowHeight="15840" activeTab="4" xr2:uid="{00000000-000D-0000-FFFF-FFFF00000000}"/>
  </bookViews>
  <sheets>
    <sheet name="Notes" sheetId="4" r:id="rId1"/>
    <sheet name="Sheet3" sheetId="7" r:id="rId2"/>
    <sheet name="Sheet1" sheetId="3" r:id="rId3"/>
    <sheet name="Sheet2" sheetId="2" r:id="rId4"/>
    <sheet name="tb7100" sheetId="8" r:id="rId5"/>
  </sheets>
  <definedNames>
    <definedName name="_xlnm.Print_Area" localSheetId="1">Sheet3!$A$1:$H$52</definedName>
  </definedNames>
  <calcPr calcId="191029" iterateCount="3"/>
  <webPublishing vml="1" allowPng="1"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9" i="2" l="1"/>
  <c r="K119" i="2"/>
  <c r="J119" i="2" s="1"/>
  <c r="M119" i="2"/>
  <c r="L119" i="2" l="1"/>
  <c r="N119" i="2" s="1"/>
  <c r="M118" i="2"/>
  <c r="L117" i="2"/>
  <c r="L116" i="2"/>
  <c r="M115" i="2"/>
  <c r="M113" i="2"/>
  <c r="K30" i="8"/>
  <c r="K29" i="8"/>
  <c r="M109" i="2"/>
  <c r="M108" i="2"/>
  <c r="M107" i="2"/>
  <c r="M106" i="2"/>
  <c r="L105" i="2"/>
  <c r="L104" i="2"/>
  <c r="M103" i="2"/>
  <c r="L101" i="2"/>
  <c r="K12" i="8"/>
  <c r="M99" i="2"/>
  <c r="M98" i="2"/>
  <c r="L97" i="2"/>
  <c r="M96" i="2"/>
  <c r="L95" i="2"/>
  <c r="L92" i="2"/>
  <c r="M91" i="2"/>
  <c r="M90" i="2"/>
  <c r="L89" i="2"/>
  <c r="L88" i="2"/>
  <c r="M88" i="2" s="1"/>
  <c r="N88" i="2" s="1"/>
  <c r="L87" i="2"/>
  <c r="M87" i="2" s="1"/>
  <c r="N87" i="2" s="1"/>
  <c r="L84" i="2"/>
  <c r="M84" i="2" s="1"/>
  <c r="N84" i="2" s="1"/>
  <c r="L83" i="2"/>
  <c r="L82" i="2"/>
  <c r="L81" i="2"/>
  <c r="M81" i="2" s="1"/>
  <c r="N81" i="2" s="1"/>
  <c r="L80" i="2"/>
  <c r="L79" i="2"/>
  <c r="M79" i="2" s="1"/>
  <c r="L76" i="2"/>
  <c r="M76" i="2" s="1"/>
  <c r="N76" i="2" s="1"/>
  <c r="L75" i="2"/>
  <c r="L74" i="2"/>
  <c r="M74" i="2" s="1"/>
  <c r="N74" i="2" s="1"/>
  <c r="L73" i="2"/>
  <c r="M73" i="2" s="1"/>
  <c r="N73" i="2" s="1"/>
  <c r="L72" i="2"/>
  <c r="L71" i="2"/>
  <c r="L69" i="2"/>
  <c r="L68" i="2"/>
  <c r="M68" i="2" s="1"/>
  <c r="N68" i="2" s="1"/>
  <c r="L67" i="2"/>
  <c r="L66" i="2"/>
  <c r="L65" i="2"/>
  <c r="L64" i="2"/>
  <c r="M64" i="2" s="1"/>
  <c r="N64" i="2" s="1"/>
  <c r="L63" i="2"/>
  <c r="M63" i="2" s="1"/>
  <c r="N63" i="2" s="1"/>
  <c r="L60" i="2"/>
  <c r="M60" i="2" s="1"/>
  <c r="N60" i="2" s="1"/>
  <c r="L59" i="2"/>
  <c r="M59" i="2" s="1"/>
  <c r="N59" i="2" s="1"/>
  <c r="L58" i="2"/>
  <c r="M58" i="2" s="1"/>
  <c r="N58" i="2" s="1"/>
  <c r="L57" i="2"/>
  <c r="M57" i="2" s="1"/>
  <c r="N57" i="2" s="1"/>
  <c r="L56" i="2"/>
  <c r="M56" i="2" s="1"/>
  <c r="N56" i="2" s="1"/>
  <c r="L55" i="2"/>
  <c r="M55" i="2" s="1"/>
  <c r="N55" i="2" s="1"/>
  <c r="Q126" i="2"/>
  <c r="N126" i="2"/>
  <c r="P125" i="2"/>
  <c r="O125" i="2"/>
  <c r="N125" i="2"/>
  <c r="N124" i="2"/>
  <c r="N123" i="2"/>
  <c r="L2" i="8"/>
  <c r="A11" i="8"/>
  <c r="A12" i="8"/>
  <c r="A13" i="8"/>
  <c r="A14" i="8"/>
  <c r="A17" i="8"/>
  <c r="A18" i="8"/>
  <c r="A19" i="8"/>
  <c r="A20" i="8"/>
  <c r="A23" i="8"/>
  <c r="A24" i="8"/>
  <c r="A25" i="8"/>
  <c r="A26" i="8"/>
  <c r="A29" i="8"/>
  <c r="A30" i="8"/>
  <c r="A31" i="8"/>
  <c r="A32" i="8"/>
  <c r="K3" i="2"/>
  <c r="B40" i="3"/>
  <c r="Q66" i="2"/>
  <c r="Q70" i="2"/>
  <c r="Q74" i="2"/>
  <c r="Q78" i="2"/>
  <c r="Q82" i="2"/>
  <c r="Q86" i="2"/>
  <c r="Q90" i="2"/>
  <c r="Q94" i="2"/>
  <c r="Q98" i="2"/>
  <c r="Q102" i="2"/>
  <c r="Q106" i="2"/>
  <c r="Q110" i="2"/>
  <c r="Q114" i="2"/>
  <c r="Q118" i="2"/>
  <c r="L39" i="8" s="1"/>
  <c r="N120" i="2"/>
  <c r="N121" i="2"/>
  <c r="O121" i="2"/>
  <c r="P121" i="2"/>
  <c r="N122" i="2"/>
  <c r="Q122" i="2"/>
  <c r="L45" i="8" s="1"/>
  <c r="AO5" i="7"/>
  <c r="AP5" i="7"/>
  <c r="AQ5" i="7"/>
  <c r="AR5" i="7"/>
  <c r="AS5" i="7"/>
  <c r="AT5" i="7"/>
  <c r="E7" i="7"/>
  <c r="A8" i="7"/>
  <c r="E8" i="7"/>
  <c r="AO9" i="7"/>
  <c r="AP9" i="7"/>
  <c r="AQ9" i="7"/>
  <c r="AR9" i="7"/>
  <c r="AS9" i="7"/>
  <c r="AT9" i="7"/>
  <c r="A10" i="7"/>
  <c r="E10" i="7"/>
  <c r="A12" i="7"/>
  <c r="E12" i="7"/>
  <c r="AO13" i="7"/>
  <c r="AP13" i="7"/>
  <c r="AQ13" i="7"/>
  <c r="AR13" i="7"/>
  <c r="AS13" i="7"/>
  <c r="AT13" i="7"/>
  <c r="AO17" i="7"/>
  <c r="AP17" i="7"/>
  <c r="AQ17" i="7"/>
  <c r="AR17" i="7"/>
  <c r="AS17" i="7"/>
  <c r="AT17" i="7"/>
  <c r="E21" i="7"/>
  <c r="A22" i="7"/>
  <c r="E22" i="7"/>
  <c r="A24" i="7"/>
  <c r="E24" i="7"/>
  <c r="A26" i="7"/>
  <c r="E26" i="7"/>
  <c r="G33" i="7"/>
  <c r="G34" i="7"/>
  <c r="E35" i="7"/>
  <c r="A36" i="7"/>
  <c r="E36" i="7"/>
  <c r="A38" i="7"/>
  <c r="E38" i="7"/>
  <c r="A40" i="7"/>
  <c r="E40" i="7"/>
  <c r="L61" i="2"/>
  <c r="L62" i="2"/>
  <c r="M62" i="2" s="1"/>
  <c r="N62" i="2" s="1"/>
  <c r="L70" i="2"/>
  <c r="M70" i="2" s="1"/>
  <c r="L77" i="2"/>
  <c r="M77" i="2" s="1"/>
  <c r="N77" i="2" s="1"/>
  <c r="L78" i="2"/>
  <c r="M78" i="2" s="1"/>
  <c r="N78" i="2" s="1"/>
  <c r="L85" i="2"/>
  <c r="M85" i="2" s="1"/>
  <c r="L86" i="2"/>
  <c r="M86" i="2" s="1"/>
  <c r="N86" i="2" s="1"/>
  <c r="L93" i="2"/>
  <c r="M94" i="2"/>
  <c r="K25" i="8"/>
  <c r="L110" i="2"/>
  <c r="K37" i="8"/>
  <c r="K38" i="8"/>
  <c r="M93" i="2"/>
  <c r="A46" i="8"/>
  <c r="B34" i="3"/>
  <c r="A40" i="8"/>
  <c r="B46" i="3"/>
  <c r="B28" i="3"/>
  <c r="B22" i="3"/>
  <c r="A34" i="8"/>
  <c r="B16" i="3"/>
  <c r="A28" i="8"/>
  <c r="A22" i="8"/>
  <c r="B10" i="3"/>
  <c r="B4" i="3"/>
  <c r="A16" i="8"/>
  <c r="C5" i="3"/>
  <c r="A10" i="8"/>
  <c r="C6" i="3"/>
  <c r="C7" i="3"/>
  <c r="C8" i="3"/>
  <c r="C11" i="3"/>
  <c r="C12" i="3"/>
  <c r="C13" i="3"/>
  <c r="C14" i="3"/>
  <c r="C17" i="3"/>
  <c r="C18" i="3"/>
  <c r="C19" i="3"/>
  <c r="C20" i="3"/>
  <c r="C23" i="3"/>
  <c r="C24" i="3"/>
  <c r="C25" i="3"/>
  <c r="C26" i="3"/>
  <c r="C29" i="3"/>
  <c r="C30" i="3"/>
  <c r="C31" i="3"/>
  <c r="C32" i="3"/>
  <c r="C35" i="3"/>
  <c r="C36" i="3"/>
  <c r="K41" i="8"/>
  <c r="K42" i="8"/>
  <c r="C37" i="3"/>
  <c r="C38" i="3"/>
  <c r="K43" i="8"/>
  <c r="K45" i="8"/>
  <c r="C41" i="3"/>
  <c r="K44" i="8"/>
  <c r="C42" i="3"/>
  <c r="K47" i="8"/>
  <c r="K48" i="8"/>
  <c r="C43" i="3"/>
  <c r="K49" i="8"/>
  <c r="C44" i="3"/>
  <c r="K50" i="8"/>
  <c r="K51" i="8"/>
  <c r="C47" i="3"/>
  <c r="C48" i="3"/>
  <c r="C49" i="3"/>
  <c r="C50" i="3"/>
  <c r="M101" i="2"/>
  <c r="M102" i="2"/>
  <c r="L115" i="2"/>
  <c r="N115" i="2" s="1"/>
  <c r="L94" i="2"/>
  <c r="M97" i="2"/>
  <c r="K14" i="8"/>
  <c r="L102" i="2"/>
  <c r="K26" i="8"/>
  <c r="M110" i="2"/>
  <c r="K11" i="8"/>
  <c r="K18" i="8"/>
  <c r="M100" i="2"/>
  <c r="M105" i="2" l="1"/>
  <c r="K31" i="8"/>
  <c r="L31" i="8" s="1"/>
  <c r="K19" i="8"/>
  <c r="L25" i="8" s="1"/>
  <c r="L113" i="2"/>
  <c r="L96" i="2"/>
  <c r="N96" i="2" s="1"/>
  <c r="M95" i="2"/>
  <c r="P97" i="2" s="1"/>
  <c r="K17" i="8"/>
  <c r="L17" i="8" s="1"/>
  <c r="M89" i="2"/>
  <c r="N89" i="2" s="1"/>
  <c r="M112" i="2"/>
  <c r="M104" i="2"/>
  <c r="L112" i="2"/>
  <c r="N112" i="2" s="1"/>
  <c r="L111" i="2"/>
  <c r="L103" i="2"/>
  <c r="N103" i="2" s="1"/>
  <c r="M111" i="2"/>
  <c r="N102" i="2"/>
  <c r="L118" i="2"/>
  <c r="N118" i="2" s="1"/>
  <c r="L44" i="8" s="1"/>
  <c r="L99" i="2"/>
  <c r="N99" i="2" s="1"/>
  <c r="L108" i="2"/>
  <c r="N108" i="2" s="1"/>
  <c r="Q125" i="2"/>
  <c r="L48" i="8"/>
  <c r="L51" i="8"/>
  <c r="L50" i="8"/>
  <c r="Q121" i="2"/>
  <c r="L106" i="2"/>
  <c r="N106" i="2" s="1"/>
  <c r="K20" i="8"/>
  <c r="L26" i="8" s="1"/>
  <c r="L90" i="2"/>
  <c r="N90" i="2" s="1"/>
  <c r="L12" i="8"/>
  <c r="N97" i="2"/>
  <c r="N105" i="2"/>
  <c r="N113" i="2"/>
  <c r="M92" i="2"/>
  <c r="N92" i="2" s="1"/>
  <c r="O73" i="2"/>
  <c r="K24" i="8"/>
  <c r="L30" i="8" s="1"/>
  <c r="M116" i="2"/>
  <c r="N116" i="2" s="1"/>
  <c r="L100" i="2"/>
  <c r="N100" i="2" s="1"/>
  <c r="K36" i="8"/>
  <c r="N93" i="2"/>
  <c r="M72" i="2"/>
  <c r="N72" i="2" s="1"/>
  <c r="M80" i="2"/>
  <c r="N80" i="2" s="1"/>
  <c r="O69" i="2"/>
  <c r="M67" i="2"/>
  <c r="N67" i="2" s="1"/>
  <c r="M75" i="2"/>
  <c r="N75" i="2" s="1"/>
  <c r="O77" i="2"/>
  <c r="P101" i="2"/>
  <c r="M69" i="2"/>
  <c r="N69" i="2" s="1"/>
  <c r="M83" i="2"/>
  <c r="N83" i="2" s="1"/>
  <c r="O85" i="2"/>
  <c r="M61" i="2"/>
  <c r="N61" i="2" s="1"/>
  <c r="O89" i="2"/>
  <c r="K23" i="8"/>
  <c r="L29" i="8" s="1"/>
  <c r="K35" i="8"/>
  <c r="L91" i="2"/>
  <c r="O93" i="2" s="1"/>
  <c r="N70" i="2"/>
  <c r="M71" i="2"/>
  <c r="P109" i="2"/>
  <c r="N110" i="2"/>
  <c r="L107" i="2"/>
  <c r="N107" i="2" s="1"/>
  <c r="N104" i="2"/>
  <c r="L109" i="2"/>
  <c r="N109" i="2" s="1"/>
  <c r="K13" i="8"/>
  <c r="K15" i="8" s="1"/>
  <c r="L15" i="8" s="1"/>
  <c r="N94" i="2"/>
  <c r="M117" i="2"/>
  <c r="N117" i="2" s="1"/>
  <c r="L49" i="8"/>
  <c r="L47" i="8"/>
  <c r="L18" i="8"/>
  <c r="L35" i="8"/>
  <c r="M66" i="2"/>
  <c r="N66" i="2" s="1"/>
  <c r="M82" i="2"/>
  <c r="N82" i="2" s="1"/>
  <c r="O81" i="2"/>
  <c r="N79" i="2"/>
  <c r="N85" i="2"/>
  <c r="P93" i="2"/>
  <c r="M65" i="2"/>
  <c r="P105" i="2"/>
  <c r="K32" i="8"/>
  <c r="L14" i="8"/>
  <c r="L114" i="2"/>
  <c r="O65" i="2"/>
  <c r="M114" i="2"/>
  <c r="N101" i="2"/>
  <c r="L98" i="2"/>
  <c r="N98" i="2" s="1"/>
  <c r="L11" i="8"/>
  <c r="O117" i="2" l="1"/>
  <c r="P89" i="2"/>
  <c r="N95" i="2"/>
  <c r="N111" i="2"/>
  <c r="P113" i="2"/>
  <c r="O105" i="2"/>
  <c r="Q105" i="2" s="1"/>
  <c r="L41" i="8"/>
  <c r="K39" i="8"/>
  <c r="O109" i="2"/>
  <c r="P85" i="2"/>
  <c r="L19" i="8"/>
  <c r="L13" i="8"/>
  <c r="L20" i="8"/>
  <c r="L24" i="8"/>
  <c r="K21" i="8"/>
  <c r="L21" i="8" s="1"/>
  <c r="P65" i="2"/>
  <c r="Q65" i="2" s="1"/>
  <c r="P73" i="2"/>
  <c r="Q73" i="2" s="1"/>
  <c r="Q93" i="2"/>
  <c r="N91" i="2"/>
  <c r="P81" i="2"/>
  <c r="Q81" i="2" s="1"/>
  <c r="L42" i="8"/>
  <c r="L36" i="8"/>
  <c r="Q85" i="2"/>
  <c r="O101" i="2"/>
  <c r="Q101" i="2" s="1"/>
  <c r="N71" i="2"/>
  <c r="P117" i="2"/>
  <c r="Q117" i="2" s="1"/>
  <c r="Q89" i="2"/>
  <c r="L43" i="8"/>
  <c r="L37" i="8"/>
  <c r="K27" i="8"/>
  <c r="P69" i="2"/>
  <c r="Q69" i="2" s="1"/>
  <c r="Q109" i="2"/>
  <c r="L23" i="8"/>
  <c r="P77" i="2"/>
  <c r="Q77" i="2" s="1"/>
  <c r="N114" i="2"/>
  <c r="L38" i="8" s="1"/>
  <c r="O113" i="2"/>
  <c r="Q113" i="2" s="1"/>
  <c r="K33" i="8"/>
  <c r="L32" i="8"/>
  <c r="N65" i="2"/>
  <c r="O97" i="2"/>
  <c r="Q97" i="2" s="1"/>
  <c r="L27" i="8" l="1"/>
  <c r="L33" i="8"/>
  <c r="E25" i="8" l="1"/>
  <c r="E26" i="8"/>
  <c r="E29" i="8"/>
  <c r="E30" i="8"/>
  <c r="E31" i="8"/>
  <c r="E32" i="8"/>
  <c r="E35" i="8"/>
  <c r="E36" i="8"/>
  <c r="I117" i="2"/>
  <c r="E38" i="8"/>
  <c r="E23" i="8"/>
  <c r="E24" i="8"/>
  <c r="I87" i="2"/>
  <c r="I88" i="2"/>
  <c r="I89" i="2"/>
  <c r="I90" i="2"/>
  <c r="I91" i="2"/>
  <c r="I92" i="2"/>
  <c r="I93" i="2"/>
  <c r="I94" i="2"/>
  <c r="I95" i="2"/>
  <c r="I96" i="2"/>
  <c r="I97" i="2"/>
  <c r="I98" i="2"/>
  <c r="E11" i="8"/>
  <c r="E12" i="8"/>
  <c r="E13" i="8"/>
  <c r="E14" i="8"/>
  <c r="E17" i="8"/>
  <c r="E18" i="8"/>
  <c r="E19" i="8"/>
  <c r="E20" i="8"/>
  <c r="I84" i="2"/>
  <c r="I85" i="2"/>
  <c r="I86" i="2"/>
  <c r="I81" i="2"/>
  <c r="I82" i="2"/>
  <c r="I83" i="2"/>
  <c r="I75" i="2"/>
  <c r="I76" i="2"/>
  <c r="I77" i="2"/>
  <c r="I78" i="2"/>
  <c r="I79" i="2"/>
  <c r="I80" i="2"/>
  <c r="I73" i="2"/>
  <c r="I7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K73" i="2" l="1"/>
  <c r="J73" i="2" s="1"/>
  <c r="K80" i="2"/>
  <c r="J80" i="2" s="1"/>
  <c r="K81" i="2"/>
  <c r="J81" i="2" s="1"/>
  <c r="G20" i="8"/>
  <c r="G13" i="8"/>
  <c r="K93" i="2"/>
  <c r="J93" i="2" s="1"/>
  <c r="G38" i="8"/>
  <c r="K75" i="2"/>
  <c r="J75" i="2" s="1"/>
  <c r="K104" i="2"/>
  <c r="K96" i="2"/>
  <c r="J96" i="2" s="1"/>
  <c r="K88" i="2"/>
  <c r="J88" i="2" s="1"/>
  <c r="G24" i="8"/>
  <c r="K113" i="2"/>
  <c r="K67" i="2"/>
  <c r="J67" i="2" s="1"/>
  <c r="K59" i="2"/>
  <c r="J59" i="2" s="1"/>
  <c r="K78" i="2"/>
  <c r="J78" i="2" s="1"/>
  <c r="K85" i="2"/>
  <c r="G11" i="8"/>
  <c r="K91" i="2"/>
  <c r="J91" i="2" s="1"/>
  <c r="K116" i="2"/>
  <c r="G25" i="8"/>
  <c r="K56" i="2"/>
  <c r="J56" i="2" s="1"/>
  <c r="K70" i="2"/>
  <c r="J70" i="2" s="1"/>
  <c r="K62" i="2"/>
  <c r="K74" i="2"/>
  <c r="K82" i="2"/>
  <c r="J82" i="2" s="1"/>
  <c r="K102" i="2"/>
  <c r="K94" i="2"/>
  <c r="J94" i="2" s="1"/>
  <c r="K69" i="2"/>
  <c r="J69" i="2" s="1"/>
  <c r="K61" i="2"/>
  <c r="J61" i="2" s="1"/>
  <c r="K72" i="2"/>
  <c r="J72" i="2" s="1"/>
  <c r="K65" i="2"/>
  <c r="J65" i="2" s="1"/>
  <c r="K57" i="2"/>
  <c r="J57" i="2" s="1"/>
  <c r="K76" i="2"/>
  <c r="J76" i="2" s="1"/>
  <c r="K97" i="2"/>
  <c r="J97" i="2" s="1"/>
  <c r="K89" i="2"/>
  <c r="J89" i="2" s="1"/>
  <c r="K114" i="2"/>
  <c r="K79" i="2"/>
  <c r="J79" i="2" s="1"/>
  <c r="K86" i="2"/>
  <c r="J86" i="2" s="1"/>
  <c r="G19" i="8"/>
  <c r="K100" i="2"/>
  <c r="K92" i="2"/>
  <c r="J92" i="2" s="1"/>
  <c r="G23" i="8"/>
  <c r="K117" i="2"/>
  <c r="J117" i="2" s="1"/>
  <c r="E37" i="8" s="1"/>
  <c r="K64" i="2"/>
  <c r="J64" i="2" s="1"/>
  <c r="K60" i="2"/>
  <c r="J60" i="2" s="1"/>
  <c r="K71" i="2"/>
  <c r="J71" i="2" s="1"/>
  <c r="K63" i="2"/>
  <c r="J63" i="2" s="1"/>
  <c r="K55" i="2"/>
  <c r="J55" i="2" s="1"/>
  <c r="K83" i="2"/>
  <c r="J83" i="2" s="1"/>
  <c r="G17" i="8"/>
  <c r="K95" i="2"/>
  <c r="J95" i="2" s="1"/>
  <c r="K87" i="2"/>
  <c r="J87" i="2" s="1"/>
  <c r="K112" i="2"/>
  <c r="K68" i="2"/>
  <c r="J68" i="2" s="1"/>
  <c r="K66" i="2"/>
  <c r="J66" i="2" s="1"/>
  <c r="K58" i="2"/>
  <c r="J58" i="2" s="1"/>
  <c r="K77" i="2"/>
  <c r="J77" i="2" s="1"/>
  <c r="K84" i="2"/>
  <c r="J84" i="2" s="1"/>
  <c r="K98" i="2"/>
  <c r="J98" i="2" s="1"/>
  <c r="K90" i="2"/>
  <c r="J90" i="2" s="1"/>
  <c r="K115" i="2"/>
  <c r="G26" i="8"/>
  <c r="F18" i="8"/>
  <c r="F19" i="8"/>
  <c r="F20" i="8"/>
  <c r="J85" i="2"/>
  <c r="F32" i="8"/>
  <c r="F12" i="8"/>
  <c r="C14" i="8"/>
  <c r="D14" i="8" s="1"/>
  <c r="I102" i="2"/>
  <c r="F11" i="8"/>
  <c r="E15" i="8"/>
  <c r="F15" i="8" s="1"/>
  <c r="F36" i="8"/>
  <c r="I111" i="2"/>
  <c r="C29" i="8"/>
  <c r="F25" i="8"/>
  <c r="C19" i="8"/>
  <c r="I105" i="2"/>
  <c r="F14" i="8"/>
  <c r="I114" i="2"/>
  <c r="C32" i="8"/>
  <c r="F29" i="8"/>
  <c r="E33" i="8"/>
  <c r="J62" i="2"/>
  <c r="J74" i="2"/>
  <c r="C17" i="8"/>
  <c r="I103" i="2"/>
  <c r="F23" i="8"/>
  <c r="E27" i="8"/>
  <c r="C30" i="8"/>
  <c r="I112" i="2"/>
  <c r="K111" i="2"/>
  <c r="G29" i="8"/>
  <c r="C26" i="8"/>
  <c r="I110" i="2"/>
  <c r="C12" i="8"/>
  <c r="D12" i="8" s="1"/>
  <c r="I100" i="2"/>
  <c r="F17" i="8"/>
  <c r="E21" i="8"/>
  <c r="I115" i="2"/>
  <c r="C35" i="8"/>
  <c r="F30" i="8"/>
  <c r="C23" i="8"/>
  <c r="I107" i="2"/>
  <c r="C20" i="8"/>
  <c r="I106" i="2"/>
  <c r="I101" i="2"/>
  <c r="C13" i="8"/>
  <c r="D13" i="8" s="1"/>
  <c r="I108" i="2"/>
  <c r="C24" i="8"/>
  <c r="I118" i="2"/>
  <c r="C37" i="8"/>
  <c r="C38" i="8"/>
  <c r="F35" i="8"/>
  <c r="F26" i="8"/>
  <c r="I104" i="2"/>
  <c r="C18" i="8"/>
  <c r="F13" i="8"/>
  <c r="F38" i="8"/>
  <c r="C31" i="8"/>
  <c r="I113" i="2"/>
  <c r="C11" i="8"/>
  <c r="I99" i="2"/>
  <c r="F24" i="8"/>
  <c r="I116" i="2"/>
  <c r="C36" i="8"/>
  <c r="F31" i="8"/>
  <c r="C25" i="8"/>
  <c r="I109" i="2"/>
  <c r="K118" i="2" l="1"/>
  <c r="K109" i="2"/>
  <c r="G35" i="8"/>
  <c r="H35" i="8" s="1"/>
  <c r="K107" i="2"/>
  <c r="J107" i="2" s="1"/>
  <c r="K99" i="2"/>
  <c r="J99" i="2" s="1"/>
  <c r="G14" i="8"/>
  <c r="H14" i="8" s="1"/>
  <c r="K110" i="2"/>
  <c r="J110" i="2" s="1"/>
  <c r="G36" i="8"/>
  <c r="K105" i="2"/>
  <c r="K103" i="2"/>
  <c r="J103" i="2" s="1"/>
  <c r="G37" i="8"/>
  <c r="G30" i="8"/>
  <c r="H30" i="8" s="1"/>
  <c r="K106" i="2"/>
  <c r="H13" i="8"/>
  <c r="K108" i="2"/>
  <c r="J108" i="2" s="1"/>
  <c r="G12" i="8"/>
  <c r="H12" i="8" s="1"/>
  <c r="G32" i="8"/>
  <c r="H32" i="8" s="1"/>
  <c r="K101" i="2"/>
  <c r="J101" i="2" s="1"/>
  <c r="G18" i="8"/>
  <c r="G21" i="8" s="1"/>
  <c r="G31" i="8"/>
  <c r="H31" i="8" s="1"/>
  <c r="H26" i="8"/>
  <c r="D20" i="8"/>
  <c r="J114" i="2"/>
  <c r="D30" i="8"/>
  <c r="D25" i="8"/>
  <c r="J116" i="2"/>
  <c r="D18" i="8"/>
  <c r="F21" i="8"/>
  <c r="H19" i="8"/>
  <c r="J113" i="2"/>
  <c r="J102" i="2"/>
  <c r="J100" i="2"/>
  <c r="J109" i="2"/>
  <c r="F37" i="8"/>
  <c r="H29" i="8"/>
  <c r="H11" i="8"/>
  <c r="D38" i="8"/>
  <c r="J111" i="2"/>
  <c r="F33" i="8"/>
  <c r="D29" i="8"/>
  <c r="C33" i="8"/>
  <c r="D36" i="8"/>
  <c r="D35" i="8"/>
  <c r="C39" i="8"/>
  <c r="H25" i="8"/>
  <c r="J104" i="2"/>
  <c r="D37" i="8"/>
  <c r="D17" i="8"/>
  <c r="C21" i="8"/>
  <c r="J115" i="2"/>
  <c r="F27" i="8"/>
  <c r="J112" i="2"/>
  <c r="H17" i="8"/>
  <c r="E39" i="8"/>
  <c r="G27" i="8"/>
  <c r="H23" i="8"/>
  <c r="D32" i="8"/>
  <c r="D24" i="8"/>
  <c r="J105" i="2"/>
  <c r="D11" i="8"/>
  <c r="C15" i="8"/>
  <c r="D15" i="8" s="1"/>
  <c r="D31" i="8"/>
  <c r="C27" i="8"/>
  <c r="D23" i="8"/>
  <c r="D26" i="8"/>
  <c r="D19" i="8"/>
  <c r="J118" i="2"/>
  <c r="J106" i="2"/>
  <c r="H20" i="8" l="1"/>
  <c r="H36" i="8"/>
  <c r="H38" i="8"/>
  <c r="G39" i="8"/>
  <c r="G33" i="8"/>
  <c r="H24" i="8"/>
  <c r="H18" i="8"/>
  <c r="H37" i="8"/>
  <c r="G15" i="8"/>
  <c r="H15" i="8" s="1"/>
  <c r="H27" i="8"/>
  <c r="D27" i="8"/>
  <c r="D21" i="8"/>
  <c r="D39" i="8"/>
  <c r="F39" i="8"/>
  <c r="D33" i="8"/>
  <c r="H39" i="8" l="1"/>
  <c r="H21" i="8"/>
  <c r="H33" i="8"/>
  <c r="I43" i="8" l="1"/>
  <c r="I41" i="8"/>
  <c r="I42" i="8"/>
  <c r="I44" i="8" l="1"/>
  <c r="I45" i="8" s="1"/>
  <c r="I50" i="8"/>
  <c r="I49" i="8"/>
  <c r="J49" i="8" s="1"/>
  <c r="I47" i="8"/>
  <c r="I48" i="8"/>
  <c r="J48" i="8" s="1"/>
  <c r="J50" i="8" l="1"/>
  <c r="J47" i="8"/>
  <c r="I51" i="8"/>
  <c r="J51" i="8" s="1"/>
  <c r="I26" i="8" l="1"/>
  <c r="I35" i="8"/>
  <c r="I12" i="8"/>
  <c r="I23" i="8"/>
  <c r="I17" i="8"/>
  <c r="I13" i="8"/>
  <c r="I24" i="8"/>
  <c r="I25" i="8"/>
  <c r="I32" i="8"/>
  <c r="I38" i="8"/>
  <c r="I36" i="8"/>
  <c r="I19" i="8"/>
  <c r="I30" i="8"/>
  <c r="I20" i="8"/>
  <c r="I37" i="8"/>
  <c r="I29" i="8"/>
  <c r="I31" i="8"/>
  <c r="I14" i="8"/>
  <c r="J14" i="8" s="1"/>
  <c r="I18" i="8"/>
  <c r="I11" i="8"/>
  <c r="J12" i="8" l="1"/>
  <c r="J32" i="8"/>
  <c r="J19" i="8"/>
  <c r="J30" i="8"/>
  <c r="J31" i="8"/>
  <c r="J26" i="8"/>
  <c r="J18" i="8"/>
  <c r="J29" i="8"/>
  <c r="I33" i="8"/>
  <c r="J25" i="8"/>
  <c r="J23" i="8"/>
  <c r="I27" i="8"/>
  <c r="J11" i="8"/>
  <c r="I15" i="8"/>
  <c r="J15" i="8" s="1"/>
  <c r="J43" i="8"/>
  <c r="J37" i="8"/>
  <c r="J20" i="8"/>
  <c r="J36" i="8"/>
  <c r="J42" i="8"/>
  <c r="J44" i="8"/>
  <c r="J38" i="8"/>
  <c r="I39" i="8"/>
  <c r="J41" i="8"/>
  <c r="J35" i="8"/>
  <c r="J24" i="8"/>
  <c r="J13" i="8"/>
  <c r="I21" i="8"/>
  <c r="J17" i="8"/>
  <c r="J21" i="8" l="1"/>
  <c r="J39" i="8"/>
  <c r="J45" i="8"/>
  <c r="J27" i="8"/>
  <c r="J33" i="8"/>
  <c r="C43" i="8" l="1"/>
  <c r="D43" i="8" s="1"/>
  <c r="C42" i="8"/>
  <c r="D42" i="8" s="1"/>
  <c r="C49" i="8" l="1"/>
  <c r="D49" i="8" s="1"/>
  <c r="C48" i="8"/>
  <c r="D48" i="8" s="1"/>
  <c r="J120" i="2" l="1"/>
  <c r="E42" i="8" s="1"/>
  <c r="F42" i="8" s="1"/>
  <c r="G42" i="8"/>
  <c r="H42" i="8" s="1"/>
  <c r="J121" i="2"/>
  <c r="E43" i="8" s="1"/>
  <c r="F43" i="8" s="1"/>
  <c r="G43" i="8"/>
  <c r="H43" i="8" s="1"/>
  <c r="C41" i="8"/>
  <c r="G49" i="8" l="1"/>
  <c r="H49" i="8" s="1"/>
  <c r="J125" i="2"/>
  <c r="E49" i="8" s="1"/>
  <c r="F49" i="8" s="1"/>
  <c r="G48" i="8"/>
  <c r="H48" i="8" s="1"/>
  <c r="J124" i="2"/>
  <c r="E48" i="8" s="1"/>
  <c r="F48" i="8" s="1"/>
  <c r="D41" i="8"/>
  <c r="C47" i="8"/>
  <c r="G41" i="8"/>
  <c r="E41" i="8"/>
  <c r="D47" i="8" l="1"/>
  <c r="H41" i="8"/>
  <c r="F41" i="8"/>
  <c r="G47" i="8"/>
  <c r="J123" i="2"/>
  <c r="E47" i="8" s="1"/>
  <c r="F47" i="8" l="1"/>
  <c r="H47" i="8"/>
  <c r="C44" i="8" l="1"/>
  <c r="C50" i="8" l="1"/>
  <c r="J122" i="2"/>
  <c r="E44" i="8" s="1"/>
  <c r="G44" i="8"/>
  <c r="D44" i="8"/>
  <c r="C45" i="8"/>
  <c r="D45" i="8" s="1"/>
  <c r="F44" i="8" l="1"/>
  <c r="E45" i="8"/>
  <c r="F45" i="8" s="1"/>
  <c r="G50" i="8"/>
  <c r="J126" i="2"/>
  <c r="E50" i="8" s="1"/>
  <c r="H44" i="8"/>
  <c r="G45" i="8"/>
  <c r="H45" i="8" s="1"/>
  <c r="D50" i="8"/>
  <c r="C51" i="8"/>
  <c r="D51" i="8" s="1"/>
  <c r="F50" i="8" l="1"/>
  <c r="E51" i="8"/>
  <c r="F51" i="8" s="1"/>
  <c r="H50" i="8"/>
  <c r="G51" i="8"/>
  <c r="H51" i="8" s="1"/>
</calcChain>
</file>

<file path=xl/sharedStrings.xml><?xml version="1.0" encoding="utf-8"?>
<sst xmlns="http://schemas.openxmlformats.org/spreadsheetml/2006/main" count="229" uniqueCount="109">
  <si>
    <t>Year</t>
  </si>
  <si>
    <t>Drive &amp; Directory</t>
  </si>
  <si>
    <t>Workbook</t>
  </si>
  <si>
    <t>Worksheet</t>
  </si>
  <si>
    <t>Column</t>
  </si>
  <si>
    <t>Start Row</t>
  </si>
  <si>
    <t>Raw Data Update</t>
  </si>
  <si>
    <t>Data Placement Table</t>
  </si>
  <si>
    <t>Current Year</t>
  </si>
  <si>
    <t>Raw Data</t>
  </si>
  <si>
    <t>D</t>
  </si>
  <si>
    <t>I</t>
  </si>
  <si>
    <t>II</t>
  </si>
  <si>
    <t>III</t>
  </si>
  <si>
    <t>IV</t>
  </si>
  <si>
    <t>Production</t>
  </si>
  <si>
    <t>Quarterly</t>
  </si>
  <si>
    <t>Quarter</t>
  </si>
  <si>
    <t>% Chg.</t>
  </si>
  <si>
    <t>from</t>
  </si>
  <si>
    <t>Year Ago</t>
  </si>
  <si>
    <t>Average</t>
  </si>
  <si>
    <t>(1,000 Head)</t>
  </si>
  <si>
    <t>(Lbs.)</t>
  </si>
  <si>
    <t>(Mil. Lbs.)</t>
  </si>
  <si>
    <t>($/Cwt.)</t>
  </si>
  <si>
    <t>C</t>
  </si>
  <si>
    <t>Update table for most recent year by entering the year in Sheet2 cell B3 (Current Year)</t>
  </si>
  <si>
    <t>Quarterly Data</t>
  </si>
  <si>
    <t>Class III</t>
  </si>
  <si>
    <t>Quarter Ending</t>
  </si>
  <si>
    <t>***   Quarterly    ***</t>
  </si>
  <si>
    <t>Step 1  Project total milk production</t>
  </si>
  <si>
    <t>sum of previous 4 quarters</t>
  </si>
  <si>
    <t>Next four projection</t>
  </si>
  <si>
    <t>Second year out projection</t>
  </si>
  <si>
    <t>Known for this year</t>
  </si>
  <si>
    <t>quarter forecast</t>
  </si>
  <si>
    <t>Next annual projection</t>
  </si>
  <si>
    <t>q4</t>
  </si>
  <si>
    <t>q1</t>
  </si>
  <si>
    <t>q2</t>
  </si>
  <si>
    <t>q3</t>
  </si>
  <si>
    <t>Step 2:  Project per cow production</t>
  </si>
  <si>
    <t>Step 3: Number of cows</t>
  </si>
  <si>
    <t>average of previous 4 quarters</t>
  </si>
  <si>
    <t>% change</t>
  </si>
  <si>
    <t>Date</t>
  </si>
  <si>
    <t>Butter</t>
  </si>
  <si>
    <t>American Cheese</t>
  </si>
  <si>
    <t>Dry Whey</t>
  </si>
  <si>
    <t>Nonfat Dry Milk</t>
  </si>
  <si>
    <t>Class IV</t>
  </si>
  <si>
    <t>October-05</t>
  </si>
  <si>
    <t>November-05</t>
  </si>
  <si>
    <t>December-05</t>
  </si>
  <si>
    <t>January-06</t>
  </si>
  <si>
    <t>February-06</t>
  </si>
  <si>
    <t>March-06</t>
  </si>
  <si>
    <t>April-06</t>
  </si>
  <si>
    <t>May-06</t>
  </si>
  <si>
    <t>June-06</t>
  </si>
  <si>
    <t>July-06</t>
  </si>
  <si>
    <t>August-06</t>
  </si>
  <si>
    <t>September-06</t>
  </si>
  <si>
    <t>B</t>
  </si>
  <si>
    <t>mid</t>
  </si>
  <si>
    <t>Comm'l</t>
  </si>
  <si>
    <t>Per Capita</t>
  </si>
  <si>
    <t>Slaughter</t>
  </si>
  <si>
    <t>Weight</t>
  </si>
  <si>
    <t>(Retail Wt.)</t>
  </si>
  <si>
    <t>h:\data\multi-species\</t>
  </si>
  <si>
    <t>High</t>
  </si>
  <si>
    <t>Low</t>
  </si>
  <si>
    <t>Carcass</t>
  </si>
  <si>
    <t>Pork</t>
  </si>
  <si>
    <t>National Wtd</t>
  </si>
  <si>
    <t>Consumption</t>
  </si>
  <si>
    <t>h:\data\hogs\</t>
  </si>
  <si>
    <t>N</t>
  </si>
  <si>
    <t>Calculate Here</t>
  </si>
  <si>
    <t>CC</t>
  </si>
  <si>
    <t xml:space="preserve"> Commercial Slaughter</t>
  </si>
  <si>
    <t xml:space="preserve"> Dressed Weight</t>
  </si>
  <si>
    <t xml:space="preserve"> Commercial Pork Production</t>
  </si>
  <si>
    <t xml:space="preserve"> Per Capita Consumption</t>
  </si>
  <si>
    <t>Prices Bar/Gilt National Base</t>
  </si>
  <si>
    <t>Bar/Gilt National Base</t>
  </si>
  <si>
    <t>Commercial Pork Production</t>
  </si>
  <si>
    <t>Commercial Slaughter</t>
  </si>
  <si>
    <t>Dressed Weight</t>
  </si>
  <si>
    <t/>
  </si>
  <si>
    <t>Note:  Totals may not add due to rounding.</t>
  </si>
  <si>
    <t xml:space="preserve">     PER  CAPITA  PORK  DISAPPEARANCE  AND  NATIONAL  BASE  HOG  PRICE</t>
  </si>
  <si>
    <t xml:space="preserve">     QUARTERLY  COMMERCIAL  HOG  SLAUGHTER,  PORK  PRODUCTION,</t>
  </si>
  <si>
    <t>a/ Estimated quarter</t>
  </si>
  <si>
    <t>b/ Forecasted quarters</t>
  </si>
  <si>
    <t>Sources:  Livestock Slaughter - USDA Publications; USDA Livestock Market News; Forecasts - LMIC Projections</t>
  </si>
  <si>
    <t>Additional years</t>
  </si>
  <si>
    <t>forcasted</t>
  </si>
  <si>
    <t>Avg Base</t>
  </si>
  <si>
    <t>K</t>
  </si>
  <si>
    <t>a</t>
  </si>
  <si>
    <t>b</t>
  </si>
  <si>
    <t>Carcass Price</t>
  </si>
  <si>
    <t>[hogsltr.xlsm]</t>
  </si>
  <si>
    <t>[sumq.xlsm]</t>
  </si>
  <si>
    <t>[Prior Day Slaughter National.xlsm]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</si>
</sst>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0%;[Red]\-0%"/>
    <numFmt numFmtId="165" formatCode="mm/dd/yy_)"/>
    <numFmt numFmtId="166" formatCode="General_);[Red]\-General_)"/>
    <numFmt numFmtId="167" formatCode="mm/dd/yy"/>
    <numFmt numFmtId="168" formatCode="0.0"/>
    <numFmt numFmtId="169" formatCode="0.0000"/>
    <numFmt numFmtId="170" formatCode="_(* #,##0_);_(* \(#,##0\);_(* &quot;-&quot;??_);_(@_)"/>
    <numFmt numFmtId="171" formatCode="0.000"/>
    <numFmt numFmtId="172" formatCode="_(* ###0_);_(* \(###0\);_(* &quot;-&quot;??_);_(@_)"/>
    <numFmt numFmtId="173" formatCode="_(* ###0.0_);_(* \(###0.0\);_(* &quot;-&quot;??_);_(@_)"/>
    <numFmt numFmtId="174" formatCode="_(* ###0.00_);_(* \(###0.00\);_(* &quot;-&quot;??_);_(@_)"/>
    <numFmt numFmtId="175" formatCode="#,##0.0_);\-#,##0.0_)"/>
    <numFmt numFmtId="176" formatCode="0.000%"/>
  </numFmts>
  <fonts count="33">
    <font>
      <sz val="10"/>
      <name val="Arial"/>
      <family val="2"/>
    </font>
    <font>
      <sz val="9"/>
      <name val="Geneva"/>
    </font>
    <font>
      <b/>
      <sz val="10"/>
      <name val="Arial"/>
      <family val="2"/>
    </font>
    <font>
      <sz val="10"/>
      <name val="Arial"/>
      <family val="2"/>
    </font>
    <font>
      <sz val="10"/>
      <name val="Arial MT"/>
    </font>
    <font>
      <sz val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sz val="14"/>
      <name val="Arial MT"/>
    </font>
    <font>
      <b/>
      <sz val="14"/>
      <name val="Arial"/>
      <family val="2"/>
    </font>
    <font>
      <sz val="10"/>
      <color indexed="12"/>
      <name val="Arial"/>
      <family val="2"/>
    </font>
    <font>
      <sz val="12"/>
      <name val="Arial"/>
      <family val="2"/>
    </font>
    <font>
      <sz val="8"/>
      <color indexed="12"/>
      <name val="Arial"/>
      <family val="2"/>
    </font>
    <font>
      <sz val="10"/>
      <name val="Arial Narrow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12"/>
      <name val="Arial"/>
      <family val="2"/>
    </font>
    <font>
      <b/>
      <sz val="12"/>
      <color indexed="16"/>
      <name val="Arial"/>
      <family val="2"/>
    </font>
    <font>
      <sz val="10"/>
      <color indexed="11"/>
      <name val="Arial"/>
      <family val="2"/>
    </font>
    <font>
      <sz val="10"/>
      <color indexed="60"/>
      <name val="Arial"/>
      <family val="2"/>
    </font>
    <font>
      <b/>
      <sz val="10"/>
      <color indexed="60"/>
      <name val="Arial"/>
      <family val="2"/>
    </font>
    <font>
      <b/>
      <sz val="10"/>
      <color indexed="16"/>
      <name val="Arial"/>
      <family val="2"/>
    </font>
    <font>
      <sz val="10"/>
      <name val="Arial"/>
      <family val="2"/>
    </font>
    <font>
      <b/>
      <sz val="10"/>
      <color indexed="20"/>
      <name val="Arial"/>
      <family val="2"/>
    </font>
    <font>
      <sz val="10"/>
      <color indexed="2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6" tint="-0.499984740745262"/>
      <name val="Arial"/>
      <family val="2"/>
    </font>
    <font>
      <b/>
      <sz val="10"/>
      <color theme="3" tint="0.39997558519241921"/>
      <name val="Arial"/>
      <family val="2"/>
    </font>
    <font>
      <b/>
      <sz val="10"/>
      <color rgb="FFC00000"/>
      <name val="Arial"/>
      <family val="2"/>
    </font>
    <font>
      <sz val="10"/>
      <color rgb="FFC00000"/>
      <name val="Arial"/>
      <family val="2"/>
    </font>
    <font>
      <b/>
      <sz val="10"/>
      <color theme="3" tint="-0.24997711111789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darkGray">
        <fgColor indexed="47"/>
        <bgColor indexed="52"/>
      </patternFill>
    </fill>
    <fill>
      <patternFill patternType="solid">
        <fgColor indexed="13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</borders>
  <cellStyleXfs count="4">
    <xf numFmtId="166" fontId="0" fillId="0" borderId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26">
    <xf numFmtId="166" fontId="0" fillId="0" borderId="0" xfId="0"/>
    <xf numFmtId="166" fontId="2" fillId="0" borderId="0" xfId="0" applyFont="1" applyAlignment="1">
      <alignment horizontal="centerContinuous"/>
    </xf>
    <xf numFmtId="166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166" fontId="4" fillId="0" borderId="0" xfId="0" applyFont="1"/>
    <xf numFmtId="164" fontId="4" fillId="0" borderId="0" xfId="0" applyNumberFormat="1" applyFont="1"/>
    <xf numFmtId="14" fontId="0" fillId="0" borderId="0" xfId="0" applyNumberFormat="1"/>
    <xf numFmtId="166" fontId="5" fillId="0" borderId="0" xfId="0" applyFont="1"/>
    <xf numFmtId="0" fontId="5" fillId="0" borderId="0" xfId="0" applyNumberFormat="1" applyFont="1"/>
    <xf numFmtId="167" fontId="5" fillId="0" borderId="0" xfId="0" applyNumberFormat="1" applyFont="1"/>
    <xf numFmtId="167" fontId="0" fillId="0" borderId="0" xfId="0" applyNumberFormat="1"/>
    <xf numFmtId="166" fontId="7" fillId="0" borderId="0" xfId="0" applyFont="1"/>
    <xf numFmtId="166" fontId="7" fillId="0" borderId="0" xfId="0" applyFont="1" applyAlignment="1">
      <alignment horizontal="centerContinuous"/>
    </xf>
    <xf numFmtId="164" fontId="7" fillId="0" borderId="0" xfId="0" applyNumberFormat="1" applyFont="1" applyAlignment="1">
      <alignment horizontal="centerContinuous"/>
    </xf>
    <xf numFmtId="165" fontId="7" fillId="0" borderId="0" xfId="0" applyNumberFormat="1" applyFont="1" applyAlignment="1">
      <alignment horizontal="right"/>
    </xf>
    <xf numFmtId="164" fontId="7" fillId="0" borderId="0" xfId="0" applyNumberFormat="1" applyFont="1"/>
    <xf numFmtId="166" fontId="7" fillId="0" borderId="0" xfId="0" applyFont="1" applyAlignment="1">
      <alignment horizontal="right"/>
    </xf>
    <xf numFmtId="166" fontId="8" fillId="0" borderId="0" xfId="0" applyFont="1"/>
    <xf numFmtId="166" fontId="7" fillId="0" borderId="1" xfId="0" applyFont="1" applyBorder="1"/>
    <xf numFmtId="166" fontId="9" fillId="0" borderId="0" xfId="0" applyFont="1"/>
    <xf numFmtId="2" fontId="10" fillId="0" borderId="0" xfId="0" applyNumberFormat="1" applyFont="1"/>
    <xf numFmtId="166" fontId="9" fillId="0" borderId="1" xfId="0" applyFont="1" applyBorder="1" applyAlignment="1">
      <alignment horizontal="right"/>
    </xf>
    <xf numFmtId="166" fontId="9" fillId="0" borderId="0" xfId="0" applyFont="1" applyAlignment="1">
      <alignment horizontal="right"/>
    </xf>
    <xf numFmtId="164" fontId="7" fillId="0" borderId="1" xfId="0" applyNumberFormat="1" applyFont="1" applyBorder="1"/>
    <xf numFmtId="166" fontId="6" fillId="0" borderId="0" xfId="0" applyFont="1" applyAlignment="1">
      <alignment horizontal="center"/>
    </xf>
    <xf numFmtId="166" fontId="11" fillId="0" borderId="0" xfId="0" applyFont="1"/>
    <xf numFmtId="166" fontId="9" fillId="0" borderId="2" xfId="0" applyFont="1" applyBorder="1" applyAlignment="1">
      <alignment horizontal="right"/>
    </xf>
    <xf numFmtId="166" fontId="0" fillId="0" borderId="0" xfId="0" applyAlignment="1">
      <alignment wrapText="1"/>
    </xf>
    <xf numFmtId="166" fontId="13" fillId="0" borderId="0" xfId="0" applyFont="1" applyAlignment="1">
      <alignment horizontal="right"/>
    </xf>
    <xf numFmtId="2" fontId="15" fillId="0" borderId="0" xfId="0" applyNumberFormat="1" applyFont="1"/>
    <xf numFmtId="43" fontId="0" fillId="0" borderId="0" xfId="1" applyFont="1" applyAlignment="1">
      <alignment horizontal="center"/>
    </xf>
    <xf numFmtId="10" fontId="0" fillId="0" borderId="0" xfId="3" applyNumberFormat="1" applyFont="1"/>
    <xf numFmtId="2" fontId="0" fillId="0" borderId="0" xfId="3" applyNumberFormat="1" applyFont="1"/>
    <xf numFmtId="172" fontId="7" fillId="0" borderId="0" xfId="0" applyNumberFormat="1" applyFont="1"/>
    <xf numFmtId="172" fontId="7" fillId="0" borderId="0" xfId="1" applyNumberFormat="1" applyFont="1"/>
    <xf numFmtId="2" fontId="0" fillId="0" borderId="0" xfId="0" applyNumberFormat="1"/>
    <xf numFmtId="170" fontId="0" fillId="0" borderId="0" xfId="1" applyNumberFormat="1" applyFont="1"/>
    <xf numFmtId="166" fontId="0" fillId="2" borderId="0" xfId="0" applyFill="1"/>
    <xf numFmtId="1" fontId="0" fillId="0" borderId="0" xfId="0" applyNumberFormat="1"/>
    <xf numFmtId="166" fontId="16" fillId="0" borderId="0" xfId="0" applyFont="1"/>
    <xf numFmtId="167" fontId="17" fillId="3" borderId="0" xfId="0" applyNumberFormat="1" applyFont="1" applyFill="1"/>
    <xf numFmtId="2" fontId="18" fillId="3" borderId="0" xfId="0" applyNumberFormat="1" applyFont="1" applyFill="1"/>
    <xf numFmtId="166" fontId="19" fillId="0" borderId="0" xfId="0" applyFont="1"/>
    <xf numFmtId="2" fontId="18" fillId="4" borderId="0" xfId="0" applyNumberFormat="1" applyFont="1" applyFill="1"/>
    <xf numFmtId="174" fontId="7" fillId="0" borderId="0" xfId="0" applyNumberFormat="1" applyFont="1" applyAlignment="1">
      <alignment horizontal="center"/>
    </xf>
    <xf numFmtId="166" fontId="0" fillId="0" borderId="0" xfId="0" applyAlignment="1">
      <alignment horizontal="center"/>
    </xf>
    <xf numFmtId="166" fontId="13" fillId="5" borderId="3" xfId="0" applyFont="1" applyFill="1" applyBorder="1" applyAlignment="1">
      <alignment horizontal="right"/>
    </xf>
    <xf numFmtId="166" fontId="16" fillId="5" borderId="3" xfId="0" applyFont="1" applyFill="1" applyBorder="1" applyAlignment="1">
      <alignment horizontal="left"/>
    </xf>
    <xf numFmtId="166" fontId="0" fillId="5" borderId="3" xfId="0" applyFill="1" applyBorder="1" applyAlignment="1">
      <alignment wrapText="1"/>
    </xf>
    <xf numFmtId="166" fontId="13" fillId="5" borderId="0" xfId="0" applyFont="1" applyFill="1" applyAlignment="1">
      <alignment horizontal="right"/>
    </xf>
    <xf numFmtId="166" fontId="0" fillId="5" borderId="0" xfId="0" applyFill="1"/>
    <xf numFmtId="166" fontId="16" fillId="5" borderId="0" xfId="0" applyFont="1" applyFill="1" applyAlignment="1">
      <alignment horizontal="left"/>
    </xf>
    <xf numFmtId="166" fontId="12" fillId="5" borderId="0" xfId="0" applyFont="1" applyFill="1"/>
    <xf numFmtId="166" fontId="13" fillId="5" borderId="4" xfId="0" applyFont="1" applyFill="1" applyBorder="1" applyAlignment="1">
      <alignment horizontal="centerContinuous"/>
    </xf>
    <xf numFmtId="166" fontId="0" fillId="5" borderId="4" xfId="0" applyFill="1" applyBorder="1" applyAlignment="1">
      <alignment horizontal="centerContinuous"/>
    </xf>
    <xf numFmtId="166" fontId="12" fillId="5" borderId="4" xfId="0" applyFont="1" applyFill="1" applyBorder="1" applyAlignment="1">
      <alignment horizontal="centerContinuous"/>
    </xf>
    <xf numFmtId="166" fontId="0" fillId="5" borderId="5" xfId="0" applyFill="1" applyBorder="1" applyAlignment="1">
      <alignment wrapText="1"/>
    </xf>
    <xf numFmtId="170" fontId="20" fillId="0" borderId="0" xfId="1" applyNumberFormat="1" applyFont="1"/>
    <xf numFmtId="166" fontId="20" fillId="0" borderId="0" xfId="0" applyFont="1"/>
    <xf numFmtId="2" fontId="20" fillId="0" borderId="0" xfId="0" applyNumberFormat="1" applyFont="1"/>
    <xf numFmtId="43" fontId="20" fillId="0" borderId="0" xfId="1" applyFont="1" applyAlignment="1">
      <alignment horizontal="center"/>
    </xf>
    <xf numFmtId="0" fontId="20" fillId="0" borderId="0" xfId="0" applyNumberFormat="1" applyFont="1"/>
    <xf numFmtId="43" fontId="20" fillId="0" borderId="0" xfId="1" applyFont="1"/>
    <xf numFmtId="169" fontId="20" fillId="0" borderId="0" xfId="1" applyNumberFormat="1" applyFont="1"/>
    <xf numFmtId="174" fontId="7" fillId="0" borderId="0" xfId="0" applyNumberFormat="1" applyFont="1"/>
    <xf numFmtId="2" fontId="7" fillId="0" borderId="0" xfId="0" applyNumberFormat="1" applyFont="1"/>
    <xf numFmtId="174" fontId="7" fillId="0" borderId="0" xfId="0" applyNumberFormat="1" applyFont="1" applyAlignment="1">
      <alignment horizontal="right"/>
    </xf>
    <xf numFmtId="2" fontId="14" fillId="0" borderId="0" xfId="2" applyNumberFormat="1" applyAlignment="1" applyProtection="1"/>
    <xf numFmtId="2" fontId="5" fillId="0" borderId="0" xfId="0" applyNumberFormat="1" applyFont="1"/>
    <xf numFmtId="2" fontId="13" fillId="0" borderId="0" xfId="0" applyNumberFormat="1" applyFont="1" applyAlignment="1">
      <alignment horizontal="right"/>
    </xf>
    <xf numFmtId="2" fontId="0" fillId="0" borderId="0" xfId="0" applyNumberFormat="1" applyAlignment="1">
      <alignment wrapText="1"/>
    </xf>
    <xf numFmtId="175" fontId="7" fillId="0" borderId="0" xfId="0" applyNumberFormat="1" applyFont="1"/>
    <xf numFmtId="170" fontId="21" fillId="0" borderId="0" xfId="1" applyNumberFormat="1" applyFont="1"/>
    <xf numFmtId="0" fontId="21" fillId="0" borderId="0" xfId="0" applyNumberFormat="1" applyFont="1"/>
    <xf numFmtId="166" fontId="0" fillId="5" borderId="5" xfId="0" applyFill="1" applyBorder="1" applyAlignment="1">
      <alignment horizontal="center" wrapText="1"/>
    </xf>
    <xf numFmtId="171" fontId="7" fillId="0" borderId="0" xfId="0" applyNumberFormat="1" applyFont="1" applyAlignment="1">
      <alignment horizontal="right"/>
    </xf>
    <xf numFmtId="0" fontId="0" fillId="0" borderId="0" xfId="0" applyNumberFormat="1"/>
    <xf numFmtId="166" fontId="5" fillId="0" borderId="0" xfId="0" applyFont="1" applyAlignment="1">
      <alignment wrapText="1"/>
    </xf>
    <xf numFmtId="1" fontId="5" fillId="0" borderId="0" xfId="0" applyNumberFormat="1" applyFont="1"/>
    <xf numFmtId="166" fontId="4" fillId="0" borderId="0" xfId="0" applyFont="1" applyAlignment="1">
      <alignment horizontal="right"/>
    </xf>
    <xf numFmtId="173" fontId="7" fillId="0" borderId="0" xfId="0" applyNumberFormat="1" applyFont="1"/>
    <xf numFmtId="173" fontId="7" fillId="0" borderId="0" xfId="1" applyNumberFormat="1" applyFont="1"/>
    <xf numFmtId="1" fontId="21" fillId="0" borderId="0" xfId="0" applyNumberFormat="1" applyFont="1"/>
    <xf numFmtId="168" fontId="20" fillId="0" borderId="0" xfId="0" applyNumberFormat="1" applyFont="1"/>
    <xf numFmtId="2" fontId="21" fillId="0" borderId="0" xfId="1" applyNumberFormat="1" applyFont="1"/>
    <xf numFmtId="1" fontId="13" fillId="5" borderId="6" xfId="0" applyNumberFormat="1" applyFont="1" applyFill="1" applyBorder="1" applyAlignment="1">
      <alignment horizontal="right"/>
    </xf>
    <xf numFmtId="1" fontId="0" fillId="5" borderId="7" xfId="0" applyNumberFormat="1" applyFill="1" applyBorder="1"/>
    <xf numFmtId="1" fontId="16" fillId="5" borderId="8" xfId="0" applyNumberFormat="1" applyFont="1" applyFill="1" applyBorder="1" applyAlignment="1">
      <alignment horizontal="centerContinuous"/>
    </xf>
    <xf numFmtId="1" fontId="0" fillId="5" borderId="9" xfId="0" applyNumberFormat="1" applyFill="1" applyBorder="1" applyAlignment="1">
      <alignment wrapText="1"/>
    </xf>
    <xf numFmtId="1" fontId="0" fillId="5" borderId="10" xfId="0" applyNumberFormat="1" applyFill="1" applyBorder="1" applyAlignment="1">
      <alignment wrapText="1"/>
    </xf>
    <xf numFmtId="1" fontId="0" fillId="0" borderId="0" xfId="3" applyNumberFormat="1" applyFont="1"/>
    <xf numFmtId="1" fontId="0" fillId="0" borderId="0" xfId="1" applyNumberFormat="1" applyFont="1"/>
    <xf numFmtId="1" fontId="20" fillId="0" borderId="0" xfId="1" applyNumberFormat="1" applyFont="1"/>
    <xf numFmtId="1" fontId="21" fillId="0" borderId="0" xfId="1" applyNumberFormat="1" applyFont="1"/>
    <xf numFmtId="166" fontId="0" fillId="0" borderId="0" xfId="0" applyAlignment="1">
      <alignment vertical="top"/>
    </xf>
    <xf numFmtId="166" fontId="0" fillId="0" borderId="0" xfId="0" applyAlignment="1">
      <alignment horizontal="right"/>
    </xf>
    <xf numFmtId="0" fontId="22" fillId="0" borderId="0" xfId="0" applyNumberFormat="1" applyFont="1"/>
    <xf numFmtId="166" fontId="22" fillId="0" borderId="0" xfId="0" applyFont="1" applyAlignment="1">
      <alignment horizontal="center"/>
    </xf>
    <xf numFmtId="1" fontId="16" fillId="0" borderId="0" xfId="1" applyNumberFormat="1" applyFont="1"/>
    <xf numFmtId="2" fontId="23" fillId="0" borderId="0" xfId="0" applyNumberFormat="1" applyFont="1"/>
    <xf numFmtId="170" fontId="16" fillId="0" borderId="0" xfId="1" applyNumberFormat="1" applyFont="1"/>
    <xf numFmtId="2" fontId="16" fillId="0" borderId="0" xfId="1" applyNumberFormat="1" applyFont="1"/>
    <xf numFmtId="1" fontId="16" fillId="0" borderId="0" xfId="0" applyNumberFormat="1" applyFont="1"/>
    <xf numFmtId="0" fontId="24" fillId="0" borderId="0" xfId="0" applyNumberFormat="1" applyFont="1"/>
    <xf numFmtId="0" fontId="25" fillId="0" borderId="0" xfId="0" applyNumberFormat="1" applyFont="1"/>
    <xf numFmtId="0" fontId="5" fillId="6" borderId="0" xfId="0" applyNumberFormat="1" applyFont="1" applyFill="1"/>
    <xf numFmtId="176" fontId="0" fillId="0" borderId="0" xfId="3" applyNumberFormat="1" applyFont="1"/>
    <xf numFmtId="2" fontId="28" fillId="0" borderId="0" xfId="0" applyNumberFormat="1" applyFont="1"/>
    <xf numFmtId="14" fontId="0" fillId="0" borderId="0" xfId="0" applyNumberFormat="1" applyAlignment="1">
      <alignment horizontal="right"/>
    </xf>
    <xf numFmtId="2" fontId="26" fillId="0" borderId="0" xfId="0" applyNumberFormat="1" applyFont="1"/>
    <xf numFmtId="166" fontId="0" fillId="7" borderId="0" xfId="0" applyFill="1"/>
    <xf numFmtId="170" fontId="27" fillId="0" borderId="0" xfId="1" applyNumberFormat="1" applyFont="1"/>
    <xf numFmtId="168" fontId="0" fillId="0" borderId="0" xfId="0" applyNumberFormat="1"/>
    <xf numFmtId="2" fontId="29" fillId="0" borderId="0" xfId="3" applyNumberFormat="1" applyFont="1"/>
    <xf numFmtId="43" fontId="4" fillId="0" borderId="0" xfId="1" applyFont="1"/>
    <xf numFmtId="170" fontId="30" fillId="0" borderId="0" xfId="1" applyNumberFormat="1" applyFont="1"/>
    <xf numFmtId="166" fontId="30" fillId="0" borderId="0" xfId="0" applyFont="1"/>
    <xf numFmtId="2" fontId="31" fillId="0" borderId="0" xfId="0" applyNumberFormat="1" applyFont="1"/>
    <xf numFmtId="166" fontId="31" fillId="0" borderId="0" xfId="0" applyFont="1"/>
    <xf numFmtId="1" fontId="31" fillId="0" borderId="0" xfId="0" applyNumberFormat="1" applyFont="1"/>
    <xf numFmtId="168" fontId="31" fillId="0" borderId="0" xfId="0" applyNumberFormat="1" applyFont="1"/>
    <xf numFmtId="1" fontId="30" fillId="0" borderId="0" xfId="0" applyNumberFormat="1" applyFont="1"/>
    <xf numFmtId="170" fontId="32" fillId="0" borderId="0" xfId="1" applyNumberFormat="1" applyFont="1"/>
    <xf numFmtId="2" fontId="32" fillId="0" borderId="0" xfId="0" applyNumberFormat="1" applyFont="1"/>
    <xf numFmtId="166" fontId="32" fillId="0" borderId="0" xfId="0" applyFont="1"/>
    <xf numFmtId="2" fontId="30" fillId="0" borderId="0" xfId="1" applyNumberFormat="1" applyFont="1"/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workbookViewId="0">
      <selection activeCell="A2" sqref="A2"/>
    </sheetView>
  </sheetViews>
  <sheetFormatPr defaultRowHeight="12.5"/>
  <sheetData>
    <row r="1" spans="1:1">
      <c r="A1" t="s">
        <v>27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AT40"/>
  <sheetViews>
    <sheetView workbookViewId="0">
      <selection activeCell="E35" sqref="E35"/>
    </sheetView>
  </sheetViews>
  <sheetFormatPr defaultRowHeight="12.5"/>
  <cols>
    <col min="4" max="4" width="17" bestFit="1" customWidth="1"/>
    <col min="5" max="5" width="13.7265625" customWidth="1"/>
    <col min="9" max="9" width="12.54296875" bestFit="1" customWidth="1"/>
  </cols>
  <sheetData>
    <row r="1" spans="1:46" ht="15.5">
      <c r="A1" s="39" t="s">
        <v>32</v>
      </c>
      <c r="AN1" s="40" t="s">
        <v>47</v>
      </c>
      <c r="AO1" s="41" t="s">
        <v>48</v>
      </c>
      <c r="AP1" s="43" t="s">
        <v>49</v>
      </c>
      <c r="AQ1" s="41" t="s">
        <v>50</v>
      </c>
      <c r="AR1" s="41" t="s">
        <v>51</v>
      </c>
      <c r="AS1" s="43" t="s">
        <v>29</v>
      </c>
      <c r="AT1" s="41" t="s">
        <v>52</v>
      </c>
    </row>
    <row r="2" spans="1:46">
      <c r="AN2" t="s">
        <v>53</v>
      </c>
      <c r="AO2" s="35">
        <v>1.4900617012877502</v>
      </c>
      <c r="AP2" s="35">
        <v>1.5292382901268753</v>
      </c>
      <c r="AQ2" s="35">
        <v>0.23874899834321903</v>
      </c>
      <c r="AR2" s="35">
        <v>0.92379435214902206</v>
      </c>
      <c r="AS2" s="35">
        <v>14.196752161655198</v>
      </c>
      <c r="AT2" s="35">
        <v>12.512890573890141</v>
      </c>
    </row>
    <row r="3" spans="1:46">
      <c r="A3" t="s">
        <v>33</v>
      </c>
      <c r="D3" s="37" t="s">
        <v>36</v>
      </c>
      <c r="E3" t="s">
        <v>37</v>
      </c>
      <c r="F3">
        <v>2005</v>
      </c>
      <c r="AN3" t="s">
        <v>54</v>
      </c>
      <c r="AO3" s="35">
        <v>1.4622626080938259</v>
      </c>
      <c r="AP3" s="35">
        <v>1.4967513778198343</v>
      </c>
      <c r="AQ3" s="35">
        <v>0.24489845577950131</v>
      </c>
      <c r="AR3" s="35">
        <v>0.92782063014058236</v>
      </c>
      <c r="AS3" s="35">
        <v>13.907938528450487</v>
      </c>
      <c r="AT3" s="35">
        <v>12.430760373203077</v>
      </c>
    </row>
    <row r="4" spans="1:46">
      <c r="A4">
        <v>41983</v>
      </c>
      <c r="B4" t="s">
        <v>39</v>
      </c>
      <c r="D4" s="37">
        <v>43242</v>
      </c>
      <c r="F4" t="s">
        <v>40</v>
      </c>
      <c r="AN4" t="s">
        <v>55</v>
      </c>
      <c r="AO4" s="35">
        <v>1.395140156657257</v>
      </c>
      <c r="AP4" s="35">
        <v>1.5551490294974515</v>
      </c>
      <c r="AQ4" s="35">
        <v>0.26309467026891092</v>
      </c>
      <c r="AR4" s="35">
        <v>0.94133698667618415</v>
      </c>
      <c r="AS4" s="35">
        <v>14.5493302779273</v>
      </c>
      <c r="AT4" s="35">
        <v>12.265086743375663</v>
      </c>
    </row>
    <row r="5" spans="1:46">
      <c r="A5">
        <v>43242</v>
      </c>
      <c r="B5" t="s">
        <v>40</v>
      </c>
      <c r="D5" s="37">
        <v>45660</v>
      </c>
      <c r="F5" t="s">
        <v>41</v>
      </c>
      <c r="AO5" s="42">
        <f t="shared" ref="AO5:AT5" si="0">AVERAGE(AO2:AO4)</f>
        <v>1.4491548220129442</v>
      </c>
      <c r="AP5" s="42">
        <f t="shared" si="0"/>
        <v>1.5270462324813872</v>
      </c>
      <c r="AQ5" s="42">
        <f t="shared" si="0"/>
        <v>0.24891404146387708</v>
      </c>
      <c r="AR5" s="42">
        <f t="shared" si="0"/>
        <v>0.93098398965526286</v>
      </c>
      <c r="AS5" s="42">
        <f t="shared" si="0"/>
        <v>14.218006989344326</v>
      </c>
      <c r="AT5" s="42">
        <f t="shared" si="0"/>
        <v>12.402912563489627</v>
      </c>
    </row>
    <row r="6" spans="1:46">
      <c r="A6">
        <v>45660</v>
      </c>
      <c r="B6" t="s">
        <v>41</v>
      </c>
      <c r="D6" s="37">
        <v>44024</v>
      </c>
      <c r="F6" t="s">
        <v>42</v>
      </c>
      <c r="AN6" t="s">
        <v>56</v>
      </c>
      <c r="AO6" s="35">
        <v>1.3004054936064353</v>
      </c>
      <c r="AP6" s="35">
        <v>1.4292136565671298</v>
      </c>
      <c r="AQ6" s="35">
        <v>0.24198919399255084</v>
      </c>
      <c r="AR6" s="35">
        <v>0.92078528167803253</v>
      </c>
      <c r="AS6" s="35">
        <v>13.171846633418184</v>
      </c>
      <c r="AT6" s="35">
        <v>11.690456495578109</v>
      </c>
    </row>
    <row r="7" spans="1:46">
      <c r="A7">
        <v>44024</v>
      </c>
      <c r="B7" t="s">
        <v>42</v>
      </c>
      <c r="D7" s="37"/>
      <c r="E7" s="38">
        <f>D6*1.003</f>
        <v>44156.071999999993</v>
      </c>
      <c r="F7" t="s">
        <v>39</v>
      </c>
      <c r="AN7" t="s">
        <v>57</v>
      </c>
      <c r="AO7" s="35">
        <v>1.3438869385053309</v>
      </c>
      <c r="AP7" s="35">
        <v>1.364872451078194</v>
      </c>
      <c r="AQ7" s="35">
        <v>0.20862670617241949</v>
      </c>
      <c r="AR7" s="35">
        <v>0.91941464441393561</v>
      </c>
      <c r="AS7" s="35">
        <v>12.374355440736407</v>
      </c>
      <c r="AT7" s="35">
        <v>11.861291083682238</v>
      </c>
    </row>
    <row r="8" spans="1:46">
      <c r="A8">
        <f>SUM(A4:A7)</f>
        <v>174909</v>
      </c>
      <c r="E8" s="38">
        <f>SUM(D4:D6)+E7</f>
        <v>177082.07199999999</v>
      </c>
      <c r="AN8" t="s">
        <v>58</v>
      </c>
      <c r="AO8" s="35">
        <v>1.4109410109379821</v>
      </c>
      <c r="AP8" s="35">
        <v>1.2791196631587156</v>
      </c>
      <c r="AQ8" s="35">
        <v>0.2208786634686587</v>
      </c>
      <c r="AR8" s="35">
        <v>0.91499389460484004</v>
      </c>
      <c r="AS8" s="35">
        <v>11.64765774537031</v>
      </c>
      <c r="AT8" s="35">
        <v>12.10489973954115</v>
      </c>
    </row>
    <row r="9" spans="1:46">
      <c r="A9" t="s">
        <v>34</v>
      </c>
      <c r="E9" t="s">
        <v>38</v>
      </c>
      <c r="AO9" s="42">
        <f t="shared" ref="AO9:AT9" si="1">AVERAGE(AO6:AO8)</f>
        <v>1.3517444810165828</v>
      </c>
      <c r="AP9" s="42">
        <f t="shared" si="1"/>
        <v>1.3577352569346797</v>
      </c>
      <c r="AQ9" s="42">
        <f t="shared" si="1"/>
        <v>0.22383152121120967</v>
      </c>
      <c r="AR9" s="42">
        <f t="shared" si="1"/>
        <v>0.91839794023226939</v>
      </c>
      <c r="AS9" s="42">
        <f t="shared" si="1"/>
        <v>12.397953273174968</v>
      </c>
      <c r="AT9" s="42">
        <f t="shared" si="1"/>
        <v>11.885549106267165</v>
      </c>
    </row>
    <row r="10" spans="1:46">
      <c r="A10">
        <f>A8*1.012</f>
        <v>177007.908</v>
      </c>
      <c r="E10" s="38">
        <f>E8*1.012</f>
        <v>179207.05686399998</v>
      </c>
      <c r="F10">
        <v>2006</v>
      </c>
      <c r="AN10" t="s">
        <v>59</v>
      </c>
      <c r="AO10" s="35">
        <v>1.4217877062603426</v>
      </c>
      <c r="AP10" s="35">
        <v>1.1314</v>
      </c>
      <c r="AQ10" s="35">
        <v>0.22801511284612624</v>
      </c>
      <c r="AR10" s="35">
        <v>0.91996100766328992</v>
      </c>
      <c r="AS10" s="35">
        <v>10.270015397907644</v>
      </c>
      <c r="AT10" s="35">
        <v>12.193173032197732</v>
      </c>
    </row>
    <row r="11" spans="1:46">
      <c r="A11" t="s">
        <v>35</v>
      </c>
      <c r="E11" t="s">
        <v>35</v>
      </c>
      <c r="AN11" t="s">
        <v>60</v>
      </c>
      <c r="AO11" s="35">
        <v>1.5192204049775819</v>
      </c>
      <c r="AP11" s="35">
        <v>1.2253322906285824</v>
      </c>
      <c r="AQ11" s="35">
        <v>0.24760037579267177</v>
      </c>
      <c r="AR11" s="35">
        <v>0.94294139786714359</v>
      </c>
      <c r="AS11" s="35">
        <v>11.331214053895176</v>
      </c>
      <c r="AT11" s="35">
        <v>12.800021722563278</v>
      </c>
    </row>
    <row r="12" spans="1:46">
      <c r="A12">
        <f>A10*1.012</f>
        <v>179132.00289599999</v>
      </c>
      <c r="E12" s="38">
        <f>E10*1.012</f>
        <v>181357.54154636798</v>
      </c>
      <c r="F12">
        <v>2007</v>
      </c>
      <c r="AN12" t="s">
        <v>61</v>
      </c>
      <c r="AO12" s="35">
        <v>1.4657114483908245</v>
      </c>
      <c r="AP12" s="35">
        <v>1.2916767294232152</v>
      </c>
      <c r="AQ12" s="35">
        <v>0.22994326113675273</v>
      </c>
      <c r="AR12" s="35">
        <v>0.93438603654119567</v>
      </c>
      <c r="AS12" s="35">
        <v>11.844829990225312</v>
      </c>
      <c r="AT12" s="35">
        <v>12.501707997495748</v>
      </c>
    </row>
    <row r="13" spans="1:46">
      <c r="AO13" s="42">
        <f t="shared" ref="AO13:AT13" si="2">AVERAGE(AO10:AO12)</f>
        <v>1.4689065198762499</v>
      </c>
      <c r="AP13" s="42">
        <f t="shared" si="2"/>
        <v>1.2161363400172658</v>
      </c>
      <c r="AQ13" s="42">
        <f t="shared" si="2"/>
        <v>0.23518624992518355</v>
      </c>
      <c r="AR13" s="42">
        <f t="shared" si="2"/>
        <v>0.93242948069054299</v>
      </c>
      <c r="AS13" s="42">
        <f t="shared" si="2"/>
        <v>11.148686480676043</v>
      </c>
      <c r="AT13" s="42">
        <f t="shared" si="2"/>
        <v>12.498300917418918</v>
      </c>
    </row>
    <row r="14" spans="1:46">
      <c r="AN14" t="s">
        <v>62</v>
      </c>
      <c r="AO14" s="35">
        <v>1.451731074324452</v>
      </c>
      <c r="AP14" s="35">
        <v>1.2341900639163847</v>
      </c>
      <c r="AQ14" s="35">
        <v>0.2303768312444536</v>
      </c>
      <c r="AR14" s="35">
        <v>0.93970096399373315</v>
      </c>
      <c r="AS14" s="35">
        <v>11.287327498462718</v>
      </c>
      <c r="AT14" s="35">
        <v>12.488698802508805</v>
      </c>
    </row>
    <row r="15" spans="1:46" ht="13">
      <c r="A15" s="39" t="s">
        <v>43</v>
      </c>
      <c r="AN15" t="s">
        <v>63</v>
      </c>
      <c r="AO15" s="35">
        <v>1.4412068744730906</v>
      </c>
      <c r="AP15" s="35">
        <v>1.347510595126274</v>
      </c>
      <c r="AQ15" s="35">
        <v>0.22839933439873164</v>
      </c>
      <c r="AR15" s="35">
        <v>0.94519881106859727</v>
      </c>
      <c r="AS15" s="35">
        <v>12.363729123872545</v>
      </c>
      <c r="AT15" s="35">
        <v>12.491778647976917</v>
      </c>
    </row>
    <row r="16" spans="1:46">
      <c r="AN16" t="s">
        <v>64</v>
      </c>
      <c r="AO16" s="35">
        <v>1.6331123293880356</v>
      </c>
      <c r="AP16" s="35">
        <v>1.4559691818795353</v>
      </c>
      <c r="AQ16" s="35">
        <v>0.23045909098940753</v>
      </c>
      <c r="AR16" s="35">
        <v>0.92736746038730333</v>
      </c>
      <c r="AS16" s="35">
        <v>13.501940364859625</v>
      </c>
      <c r="AT16" s="35">
        <v>13.144431942760558</v>
      </c>
    </row>
    <row r="17" spans="1:46">
      <c r="A17" t="s">
        <v>33</v>
      </c>
      <c r="D17" s="37" t="s">
        <v>36</v>
      </c>
      <c r="E17" t="s">
        <v>37</v>
      </c>
      <c r="F17">
        <v>2005</v>
      </c>
      <c r="AO17" s="42">
        <f t="shared" ref="AO17:AT17" si="3">AVERAGE(AO14:AO16)</f>
        <v>1.5086834260618593</v>
      </c>
      <c r="AP17" s="42">
        <f t="shared" si="3"/>
        <v>1.3458899469740648</v>
      </c>
      <c r="AQ17" s="42">
        <f t="shared" si="3"/>
        <v>0.22974508554419759</v>
      </c>
      <c r="AR17" s="42">
        <f t="shared" si="3"/>
        <v>0.93742241181654462</v>
      </c>
      <c r="AS17" s="42">
        <f t="shared" si="3"/>
        <v>12.384332329064961</v>
      </c>
      <c r="AT17" s="42">
        <f t="shared" si="3"/>
        <v>12.708303131082095</v>
      </c>
    </row>
    <row r="18" spans="1:46">
      <c r="A18">
        <v>4655</v>
      </c>
      <c r="B18" t="s">
        <v>39</v>
      </c>
      <c r="D18" s="37">
        <v>4807</v>
      </c>
      <c r="F18" t="s">
        <v>40</v>
      </c>
    </row>
    <row r="19" spans="1:46">
      <c r="A19">
        <v>4807</v>
      </c>
      <c r="B19" t="s">
        <v>40</v>
      </c>
      <c r="D19" s="37">
        <v>5054</v>
      </c>
      <c r="F19" t="s">
        <v>41</v>
      </c>
    </row>
    <row r="20" spans="1:46">
      <c r="A20">
        <v>5054</v>
      </c>
      <c r="B20" t="s">
        <v>41</v>
      </c>
      <c r="D20" s="37">
        <v>4862</v>
      </c>
      <c r="F20" t="s">
        <v>42</v>
      </c>
    </row>
    <row r="21" spans="1:46">
      <c r="A21">
        <v>4862</v>
      </c>
      <c r="B21" t="s">
        <v>42</v>
      </c>
      <c r="D21" s="37"/>
      <c r="E21" s="38">
        <f>D20*1.00525</f>
        <v>4887.5254999999997</v>
      </c>
      <c r="F21" t="s">
        <v>39</v>
      </c>
    </row>
    <row r="22" spans="1:46">
      <c r="A22">
        <f>SUM(A18:A21)</f>
        <v>19378</v>
      </c>
      <c r="E22" s="38">
        <f>SUM(D18:D20)+E21</f>
        <v>19610.5255</v>
      </c>
    </row>
    <row r="23" spans="1:46">
      <c r="A23" t="s">
        <v>34</v>
      </c>
      <c r="E23" t="s">
        <v>38</v>
      </c>
    </row>
    <row r="24" spans="1:46">
      <c r="A24">
        <f>A22*1.012</f>
        <v>19610.536</v>
      </c>
      <c r="E24" s="38">
        <f>E22+316</f>
        <v>19926.5255</v>
      </c>
      <c r="F24">
        <v>2006</v>
      </c>
    </row>
    <row r="25" spans="1:46">
      <c r="A25" t="s">
        <v>35</v>
      </c>
      <c r="E25" t="s">
        <v>35</v>
      </c>
    </row>
    <row r="26" spans="1:46">
      <c r="A26">
        <f>A24*1.012</f>
        <v>19845.862432000002</v>
      </c>
      <c r="E26" s="38">
        <f>E24+316</f>
        <v>20242.5255</v>
      </c>
      <c r="F26">
        <v>2007</v>
      </c>
    </row>
    <row r="29" spans="1:46" ht="13">
      <c r="A29" s="39" t="s">
        <v>44</v>
      </c>
    </row>
    <row r="31" spans="1:46">
      <c r="A31" t="s">
        <v>45</v>
      </c>
      <c r="D31" s="37" t="s">
        <v>36</v>
      </c>
      <c r="E31" t="s">
        <v>37</v>
      </c>
      <c r="F31">
        <v>2005</v>
      </c>
      <c r="G31" t="s">
        <v>46</v>
      </c>
    </row>
    <row r="32" spans="1:46">
      <c r="A32">
        <v>9019</v>
      </c>
      <c r="B32" t="s">
        <v>39</v>
      </c>
      <c r="D32" s="37">
        <v>8996</v>
      </c>
      <c r="F32" t="s">
        <v>40</v>
      </c>
    </row>
    <row r="33" spans="1:7">
      <c r="A33">
        <v>8996</v>
      </c>
      <c r="B33" t="s">
        <v>40</v>
      </c>
      <c r="D33" s="37">
        <v>9034</v>
      </c>
      <c r="F33" t="s">
        <v>41</v>
      </c>
      <c r="G33">
        <f>D33/D32</f>
        <v>1.0042240995998222</v>
      </c>
    </row>
    <row r="34" spans="1:7">
      <c r="A34">
        <v>9034</v>
      </c>
      <c r="B34" t="s">
        <v>41</v>
      </c>
      <c r="D34" s="37">
        <v>9054</v>
      </c>
      <c r="F34" t="s">
        <v>42</v>
      </c>
      <c r="G34">
        <f>D34/D33</f>
        <v>1.0022138587558114</v>
      </c>
    </row>
    <row r="35" spans="1:7">
      <c r="A35">
        <v>9054</v>
      </c>
      <c r="B35" t="s">
        <v>42</v>
      </c>
      <c r="D35" s="37"/>
      <c r="E35" s="38">
        <f>(E7*1000)/E21</f>
        <v>9034.4432985567018</v>
      </c>
      <c r="F35" t="s">
        <v>39</v>
      </c>
    </row>
    <row r="36" spans="1:7">
      <c r="A36">
        <f>AVERAGE(A32:A35)</f>
        <v>9025.75</v>
      </c>
      <c r="E36" s="38">
        <f>AVERAGE(D32,D33,D34,E35)</f>
        <v>9029.6108246391759</v>
      </c>
    </row>
    <row r="37" spans="1:7">
      <c r="A37" t="s">
        <v>34</v>
      </c>
      <c r="E37" t="s">
        <v>38</v>
      </c>
    </row>
    <row r="38" spans="1:7">
      <c r="A38">
        <f>A36*1.012</f>
        <v>9134.0589999999993</v>
      </c>
      <c r="E38" s="38">
        <f>(E10*1000)/E24</f>
        <v>8993.3920925652583</v>
      </c>
      <c r="F38">
        <v>2006</v>
      </c>
    </row>
    <row r="39" spans="1:7">
      <c r="A39" t="s">
        <v>35</v>
      </c>
      <c r="E39" t="s">
        <v>35</v>
      </c>
    </row>
    <row r="40" spans="1:7">
      <c r="A40">
        <f>A38*1.012</f>
        <v>9243.667707999999</v>
      </c>
      <c r="E40" s="38">
        <f>(E12*1000)/E26</f>
        <v>8959.2349307584154</v>
      </c>
      <c r="F40">
        <v>2007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C50"/>
  <sheetViews>
    <sheetView topLeftCell="A22" workbookViewId="0">
      <selection activeCell="B40" sqref="B40"/>
    </sheetView>
  </sheetViews>
  <sheetFormatPr defaultRowHeight="12.5"/>
  <cols>
    <col min="1" max="1" width="11.54296875" bestFit="1" customWidth="1"/>
    <col min="2" max="2" width="8.7265625" customWidth="1"/>
    <col min="3" max="3" width="11.54296875" customWidth="1"/>
  </cols>
  <sheetData>
    <row r="1" spans="1:3">
      <c r="A1" t="s">
        <v>7</v>
      </c>
    </row>
    <row r="3" spans="1:3">
      <c r="C3" t="s">
        <v>16</v>
      </c>
    </row>
    <row r="4" spans="1:3">
      <c r="B4">
        <f>+B10-1</f>
        <v>2019</v>
      </c>
    </row>
    <row r="5" spans="1:3">
      <c r="B5" t="s">
        <v>11</v>
      </c>
      <c r="C5">
        <f>($B4-YEAR(Sheet2!$A15))*4+14</f>
        <v>98</v>
      </c>
    </row>
    <row r="6" spans="1:3">
      <c r="B6" t="s">
        <v>12</v>
      </c>
      <c r="C6">
        <f>C5+1</f>
        <v>99</v>
      </c>
    </row>
    <row r="7" spans="1:3">
      <c r="B7" t="s">
        <v>13</v>
      </c>
      <c r="C7">
        <f>C6+1</f>
        <v>100</v>
      </c>
    </row>
    <row r="8" spans="1:3">
      <c r="B8" t="s">
        <v>14</v>
      </c>
      <c r="C8">
        <f>C7+1</f>
        <v>101</v>
      </c>
    </row>
    <row r="10" spans="1:3">
      <c r="B10">
        <f>+B16-1</f>
        <v>2020</v>
      </c>
    </row>
    <row r="11" spans="1:3">
      <c r="B11" t="s">
        <v>11</v>
      </c>
      <c r="C11">
        <f>C8+1</f>
        <v>102</v>
      </c>
    </row>
    <row r="12" spans="1:3">
      <c r="B12" t="s">
        <v>12</v>
      </c>
      <c r="C12">
        <f>C11+1</f>
        <v>103</v>
      </c>
    </row>
    <row r="13" spans="1:3">
      <c r="B13" t="s">
        <v>13</v>
      </c>
      <c r="C13">
        <f>C12+1</f>
        <v>104</v>
      </c>
    </row>
    <row r="14" spans="1:3">
      <c r="B14" t="s">
        <v>14</v>
      </c>
      <c r="C14">
        <f>C13+1</f>
        <v>105</v>
      </c>
    </row>
    <row r="16" spans="1:3">
      <c r="B16">
        <f>+B22-1</f>
        <v>2021</v>
      </c>
    </row>
    <row r="17" spans="2:3">
      <c r="B17" t="s">
        <v>11</v>
      </c>
      <c r="C17">
        <f>C14+1</f>
        <v>106</v>
      </c>
    </row>
    <row r="18" spans="2:3">
      <c r="B18" t="s">
        <v>12</v>
      </c>
      <c r="C18">
        <f>C17+1</f>
        <v>107</v>
      </c>
    </row>
    <row r="19" spans="2:3">
      <c r="B19" t="s">
        <v>13</v>
      </c>
      <c r="C19">
        <f>C18+1</f>
        <v>108</v>
      </c>
    </row>
    <row r="20" spans="2:3">
      <c r="B20" t="s">
        <v>14</v>
      </c>
      <c r="C20">
        <f>C19+1</f>
        <v>109</v>
      </c>
    </row>
    <row r="22" spans="2:3">
      <c r="B22">
        <f>+B28-1</f>
        <v>2022</v>
      </c>
    </row>
    <row r="23" spans="2:3">
      <c r="B23" t="s">
        <v>11</v>
      </c>
      <c r="C23">
        <f>C20+1</f>
        <v>110</v>
      </c>
    </row>
    <row r="24" spans="2:3">
      <c r="B24" t="s">
        <v>12</v>
      </c>
      <c r="C24">
        <f>C23+1</f>
        <v>111</v>
      </c>
    </row>
    <row r="25" spans="2:3">
      <c r="B25" t="s">
        <v>13</v>
      </c>
      <c r="C25">
        <f>C24+1</f>
        <v>112</v>
      </c>
    </row>
    <row r="26" spans="2:3">
      <c r="B26" t="s">
        <v>14</v>
      </c>
      <c r="C26">
        <f>C25+1</f>
        <v>113</v>
      </c>
    </row>
    <row r="28" spans="2:3">
      <c r="B28">
        <f>B34-1</f>
        <v>2023</v>
      </c>
    </row>
    <row r="29" spans="2:3">
      <c r="B29" t="s">
        <v>11</v>
      </c>
      <c r="C29">
        <f>C26+1</f>
        <v>114</v>
      </c>
    </row>
    <row r="30" spans="2:3">
      <c r="B30" t="s">
        <v>12</v>
      </c>
      <c r="C30">
        <f>C29+1</f>
        <v>115</v>
      </c>
    </row>
    <row r="31" spans="2:3">
      <c r="B31" t="s">
        <v>13</v>
      </c>
      <c r="C31">
        <f>C30+1</f>
        <v>116</v>
      </c>
    </row>
    <row r="32" spans="2:3">
      <c r="B32" t="s">
        <v>14</v>
      </c>
      <c r="C32">
        <f>C31+1</f>
        <v>117</v>
      </c>
    </row>
    <row r="34" spans="2:3">
      <c r="B34">
        <f>B40-1</f>
        <v>2024</v>
      </c>
    </row>
    <row r="35" spans="2:3">
      <c r="B35" t="s">
        <v>11</v>
      </c>
      <c r="C35">
        <f>C32+1</f>
        <v>118</v>
      </c>
    </row>
    <row r="36" spans="2:3">
      <c r="B36" t="s">
        <v>12</v>
      </c>
      <c r="C36">
        <f>C35+1</f>
        <v>119</v>
      </c>
    </row>
    <row r="37" spans="2:3">
      <c r="B37" t="s">
        <v>13</v>
      </c>
      <c r="C37">
        <f>C36+1</f>
        <v>120</v>
      </c>
    </row>
    <row r="38" spans="2:3">
      <c r="B38" t="s">
        <v>14</v>
      </c>
      <c r="C38">
        <f>C37+1</f>
        <v>121</v>
      </c>
    </row>
    <row r="40" spans="2:3">
      <c r="B40">
        <f>Sheet2!K3+Sheet2!N3</f>
        <v>2025</v>
      </c>
    </row>
    <row r="41" spans="2:3">
      <c r="B41" t="s">
        <v>11</v>
      </c>
      <c r="C41">
        <f>C38+1</f>
        <v>122</v>
      </c>
    </row>
    <row r="42" spans="2:3">
      <c r="B42" t="s">
        <v>12</v>
      </c>
      <c r="C42">
        <f>C41+1</f>
        <v>123</v>
      </c>
    </row>
    <row r="43" spans="2:3">
      <c r="B43" t="s">
        <v>13</v>
      </c>
      <c r="C43">
        <f>C42+1</f>
        <v>124</v>
      </c>
    </row>
    <row r="44" spans="2:3">
      <c r="B44" t="s">
        <v>14</v>
      </c>
      <c r="C44">
        <f>C43+1</f>
        <v>125</v>
      </c>
    </row>
    <row r="46" spans="2:3">
      <c r="B46" s="110">
        <f>B40+1</f>
        <v>2026</v>
      </c>
      <c r="C46" s="110"/>
    </row>
    <row r="47" spans="2:3">
      <c r="B47" s="110" t="s">
        <v>11</v>
      </c>
      <c r="C47" s="110">
        <f>C44+1</f>
        <v>126</v>
      </c>
    </row>
    <row r="48" spans="2:3">
      <c r="B48" s="110" t="s">
        <v>12</v>
      </c>
      <c r="C48" s="110">
        <f>C47+1</f>
        <v>127</v>
      </c>
    </row>
    <row r="49" spans="2:3">
      <c r="B49" s="110" t="s">
        <v>13</v>
      </c>
      <c r="C49" s="110">
        <f>C48+1</f>
        <v>128</v>
      </c>
    </row>
    <row r="50" spans="2:3">
      <c r="B50" s="110" t="s">
        <v>14</v>
      </c>
      <c r="C50" s="110">
        <f>C49+1</f>
        <v>129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codeName="Sheet3"/>
  <dimension ref="A1:U246"/>
  <sheetViews>
    <sheetView defaultGridColor="0" colorId="22" zoomScaleNormal="100" workbookViewId="0">
      <pane xSplit="1" ySplit="14" topLeftCell="B108" activePane="bottomRight" state="frozen"/>
      <selection pane="topRight" activeCell="B1" sqref="B1"/>
      <selection pane="bottomLeft" activeCell="A15" sqref="A15"/>
      <selection pane="bottomRight" activeCell="O127" sqref="O127"/>
    </sheetView>
  </sheetViews>
  <sheetFormatPr defaultColWidth="11.54296875" defaultRowHeight="12.5"/>
  <cols>
    <col min="1" max="1" width="13" customWidth="1"/>
    <col min="2" max="2" width="12.453125" customWidth="1"/>
    <col min="3" max="3" width="10.7265625" customWidth="1"/>
    <col min="4" max="4" width="13.26953125" customWidth="1"/>
    <col min="5" max="5" width="13.1796875" customWidth="1"/>
    <col min="6" max="6" width="13" customWidth="1"/>
    <col min="7" max="7" width="7.1796875" style="35" bestFit="1" customWidth="1"/>
    <col min="8" max="8" width="12.7265625" customWidth="1"/>
    <col min="9" max="9" width="11.81640625" style="38" customWidth="1"/>
    <col min="10" max="10" width="13.1796875" customWidth="1"/>
    <col min="11" max="11" width="11.54296875" customWidth="1"/>
    <col min="12" max="14" width="10.1796875" customWidth="1"/>
    <col min="15" max="17" width="9.81640625" customWidth="1"/>
  </cols>
  <sheetData>
    <row r="1" spans="1:17" ht="14.65" customHeight="1">
      <c r="A1" s="7" t="s">
        <v>9</v>
      </c>
      <c r="B1" s="7"/>
      <c r="C1" s="7"/>
      <c r="D1" s="7"/>
      <c r="E1" s="7"/>
    </row>
    <row r="2" spans="1:17" ht="14.65" customHeight="1">
      <c r="A2" s="7" t="s">
        <v>28</v>
      </c>
      <c r="B2" s="7"/>
      <c r="C2" s="7"/>
      <c r="D2" s="7"/>
      <c r="E2" s="7"/>
      <c r="K2" s="7"/>
      <c r="M2" s="95" t="s">
        <v>99</v>
      </c>
    </row>
    <row r="3" spans="1:17" ht="14.65" customHeight="1">
      <c r="A3" s="7" t="s">
        <v>8</v>
      </c>
      <c r="B3" s="105">
        <v>2023</v>
      </c>
      <c r="C3" s="8"/>
      <c r="J3" s="7" t="s">
        <v>8</v>
      </c>
      <c r="K3" s="96">
        <f>B3</f>
        <v>2023</v>
      </c>
      <c r="M3" s="95" t="s">
        <v>100</v>
      </c>
      <c r="N3" s="97">
        <v>2</v>
      </c>
    </row>
    <row r="4" spans="1:17">
      <c r="A4" s="7" t="s">
        <v>1</v>
      </c>
      <c r="B4" s="8" t="s">
        <v>79</v>
      </c>
      <c r="C4" s="8" t="s">
        <v>79</v>
      </c>
      <c r="D4" s="8" t="s">
        <v>79</v>
      </c>
      <c r="E4" s="8" t="s">
        <v>72</v>
      </c>
      <c r="F4" s="8" t="s">
        <v>79</v>
      </c>
      <c r="G4" s="67"/>
      <c r="L4" s="8"/>
      <c r="M4" s="8"/>
    </row>
    <row r="5" spans="1:17">
      <c r="A5" s="7" t="s">
        <v>2</v>
      </c>
      <c r="B5" s="9" t="s">
        <v>106</v>
      </c>
      <c r="C5" s="9" t="s">
        <v>106</v>
      </c>
      <c r="D5" s="9" t="s">
        <v>106</v>
      </c>
      <c r="E5" s="9" t="s">
        <v>107</v>
      </c>
      <c r="F5" s="9" t="s">
        <v>108</v>
      </c>
      <c r="L5" s="9"/>
      <c r="M5" s="9"/>
    </row>
    <row r="6" spans="1:17" s="7" customFormat="1">
      <c r="A6" s="7" t="s">
        <v>3</v>
      </c>
      <c r="B6" s="9" t="s">
        <v>26</v>
      </c>
      <c r="C6" s="9" t="s">
        <v>26</v>
      </c>
      <c r="D6" s="9" t="s">
        <v>26</v>
      </c>
      <c r="E6" s="9" t="s">
        <v>65</v>
      </c>
      <c r="F6" s="9" t="s">
        <v>16</v>
      </c>
      <c r="G6" s="68"/>
      <c r="H6" s="9"/>
      <c r="I6" s="78"/>
      <c r="L6" s="9"/>
      <c r="M6" s="45"/>
    </row>
    <row r="7" spans="1:17" s="7" customFormat="1">
      <c r="A7" s="7" t="s">
        <v>4</v>
      </c>
      <c r="B7" s="8" t="s">
        <v>10</v>
      </c>
      <c r="C7" s="76" t="s">
        <v>102</v>
      </c>
      <c r="D7" s="8" t="s">
        <v>11</v>
      </c>
      <c r="E7" s="8" t="s">
        <v>80</v>
      </c>
      <c r="F7" s="8" t="s">
        <v>82</v>
      </c>
      <c r="G7" s="68"/>
      <c r="H7" s="8"/>
      <c r="I7" s="78"/>
      <c r="L7" s="8"/>
      <c r="M7" s="8"/>
    </row>
    <row r="8" spans="1:17" s="7" customFormat="1">
      <c r="A8" s="7" t="s">
        <v>5</v>
      </c>
      <c r="B8" s="7">
        <v>142</v>
      </c>
      <c r="C8" s="7" t="s">
        <v>81</v>
      </c>
      <c r="D8" s="7">
        <v>142</v>
      </c>
      <c r="E8" s="7">
        <v>130</v>
      </c>
      <c r="F8" s="7">
        <v>6</v>
      </c>
      <c r="G8" s="68"/>
      <c r="I8" s="78"/>
    </row>
    <row r="9" spans="1:17" ht="11.25" customHeight="1">
      <c r="A9" s="7"/>
      <c r="B9" s="7"/>
      <c r="C9" s="7"/>
      <c r="D9" s="7"/>
      <c r="E9" s="7"/>
      <c r="F9" s="7"/>
      <c r="H9" s="7"/>
      <c r="I9" s="78"/>
    </row>
    <row r="10" spans="1:17" ht="14.65" customHeight="1">
      <c r="A10" s="7" t="s">
        <v>6</v>
      </c>
      <c r="B10" s="10">
        <v>39255.309487152779</v>
      </c>
      <c r="C10" s="9"/>
      <c r="D10" s="10">
        <v>39255.309487152779</v>
      </c>
      <c r="E10" s="10">
        <v>39266.672094328707</v>
      </c>
      <c r="F10" s="10">
        <v>39266.423155324075</v>
      </c>
      <c r="H10" s="10"/>
      <c r="I10" s="85"/>
      <c r="J10" s="46"/>
      <c r="K10" s="47"/>
      <c r="L10" s="47"/>
      <c r="M10" s="48"/>
      <c r="N10" s="48"/>
      <c r="O10" s="48"/>
      <c r="P10" s="48"/>
      <c r="Q10" s="48"/>
    </row>
    <row r="11" spans="1:17" ht="9.75" customHeight="1" thickBot="1">
      <c r="B11" s="7"/>
      <c r="C11" s="7"/>
      <c r="D11" s="7"/>
      <c r="E11" s="7"/>
      <c r="F11" s="7"/>
      <c r="G11" s="69"/>
      <c r="H11" s="28"/>
      <c r="I11" s="86"/>
      <c r="J11" s="49"/>
      <c r="K11" s="50"/>
      <c r="L11" s="51"/>
      <c r="M11" s="52"/>
      <c r="N11" s="52"/>
      <c r="O11" s="52"/>
      <c r="P11" s="52"/>
      <c r="Q11" s="52"/>
    </row>
    <row r="12" spans="1:17" ht="13">
      <c r="F12" s="7"/>
      <c r="G12" s="69"/>
      <c r="H12" s="28"/>
      <c r="I12" s="87" t="s">
        <v>31</v>
      </c>
      <c r="J12" s="53"/>
      <c r="K12" s="54"/>
      <c r="L12" s="54"/>
      <c r="M12" s="55"/>
      <c r="N12" s="55"/>
      <c r="O12" s="54"/>
      <c r="P12" s="55"/>
      <c r="Q12" s="55"/>
    </row>
    <row r="13" spans="1:17" ht="40.5" customHeight="1">
      <c r="A13" s="6"/>
      <c r="B13" s="27" t="s">
        <v>83</v>
      </c>
      <c r="C13" s="27" t="s">
        <v>84</v>
      </c>
      <c r="D13" s="27" t="s">
        <v>85</v>
      </c>
      <c r="E13" s="27" t="s">
        <v>86</v>
      </c>
      <c r="F13" s="77" t="s">
        <v>87</v>
      </c>
      <c r="G13" s="69"/>
      <c r="H13" s="28"/>
      <c r="I13" s="88" t="s">
        <v>90</v>
      </c>
      <c r="J13" s="48" t="s">
        <v>91</v>
      </c>
      <c r="K13" s="48" t="s">
        <v>89</v>
      </c>
      <c r="L13" s="48" t="s">
        <v>88</v>
      </c>
      <c r="M13" s="48" t="s">
        <v>88</v>
      </c>
      <c r="N13" s="48" t="s">
        <v>88</v>
      </c>
      <c r="O13" s="48" t="s">
        <v>88</v>
      </c>
      <c r="P13" s="48" t="s">
        <v>88</v>
      </c>
      <c r="Q13" s="48" t="s">
        <v>88</v>
      </c>
    </row>
    <row r="14" spans="1:17" ht="13" thickBot="1">
      <c r="A14" s="6" t="s">
        <v>30</v>
      </c>
      <c r="F14" s="7"/>
      <c r="G14" s="70"/>
      <c r="H14" s="27"/>
      <c r="I14" s="89"/>
      <c r="J14" s="56"/>
      <c r="K14" s="56"/>
      <c r="L14" s="74" t="s">
        <v>74</v>
      </c>
      <c r="M14" s="74" t="s">
        <v>73</v>
      </c>
      <c r="N14" s="74" t="s">
        <v>66</v>
      </c>
      <c r="O14" s="74" t="s">
        <v>74</v>
      </c>
      <c r="P14" s="74" t="s">
        <v>73</v>
      </c>
      <c r="Q14" s="74" t="s">
        <v>66</v>
      </c>
    </row>
    <row r="15" spans="1:17">
      <c r="A15" s="6">
        <v>35855</v>
      </c>
      <c r="B15" s="76">
        <v>24775.4</v>
      </c>
      <c r="C15" s="38">
        <v>190</v>
      </c>
      <c r="D15" s="38">
        <v>4687</v>
      </c>
      <c r="E15" s="32">
        <v>12.479422426939999</v>
      </c>
      <c r="F15" s="32"/>
      <c r="G15" s="32"/>
      <c r="I15" s="90"/>
      <c r="L15" s="29"/>
      <c r="M15" s="30"/>
    </row>
    <row r="16" spans="1:17">
      <c r="A16" s="6">
        <v>35947</v>
      </c>
      <c r="B16" s="76">
        <v>23628.400000000001</v>
      </c>
      <c r="C16" s="38">
        <v>188.33333333333334</v>
      </c>
      <c r="D16" s="38">
        <v>4429</v>
      </c>
      <c r="E16" s="32">
        <v>12.111224944746935</v>
      </c>
      <c r="F16" s="32"/>
      <c r="G16" s="32"/>
      <c r="H16" s="31"/>
      <c r="I16" s="90"/>
      <c r="L16" s="29"/>
      <c r="M16" s="30"/>
    </row>
    <row r="17" spans="1:13">
      <c r="A17" s="6">
        <v>36039</v>
      </c>
      <c r="B17" s="76">
        <v>25039.100000000002</v>
      </c>
      <c r="C17" s="38">
        <v>185.66666666666666</v>
      </c>
      <c r="D17" s="38">
        <v>4625</v>
      </c>
      <c r="E17" s="32">
        <v>12.798798878194496</v>
      </c>
      <c r="F17" s="32"/>
      <c r="G17" s="32"/>
      <c r="H17" s="31"/>
      <c r="I17" s="90"/>
      <c r="L17" s="29"/>
      <c r="M17" s="30"/>
    </row>
    <row r="18" spans="1:13">
      <c r="A18" s="6">
        <v>36130</v>
      </c>
      <c r="B18" s="76">
        <v>27586.400000000001</v>
      </c>
      <c r="C18" s="38">
        <v>191</v>
      </c>
      <c r="D18" s="38">
        <v>5239</v>
      </c>
      <c r="E18" s="32">
        <v>14.138583383376893</v>
      </c>
      <c r="F18" s="32"/>
      <c r="G18" s="32"/>
      <c r="H18" s="31"/>
      <c r="I18" s="90"/>
      <c r="L18" s="29"/>
      <c r="M18" s="30"/>
    </row>
    <row r="19" spans="1:13">
      <c r="A19" s="6">
        <v>36220</v>
      </c>
      <c r="B19" s="76">
        <v>25579.100000000002</v>
      </c>
      <c r="C19" s="38">
        <v>191.33333333333334</v>
      </c>
      <c r="D19" s="38">
        <v>4866</v>
      </c>
      <c r="E19" s="32">
        <v>13.23473581090528</v>
      </c>
      <c r="F19" s="32"/>
      <c r="G19" s="32"/>
      <c r="H19" s="31"/>
      <c r="I19" s="90"/>
      <c r="L19" s="29"/>
      <c r="M19" s="30"/>
    </row>
    <row r="20" spans="1:13">
      <c r="A20" s="6">
        <v>36312</v>
      </c>
      <c r="B20" s="76">
        <v>24288.300000000003</v>
      </c>
      <c r="C20" s="38">
        <v>192</v>
      </c>
      <c r="D20" s="38">
        <v>4630</v>
      </c>
      <c r="E20" s="32">
        <v>12.69563143279878</v>
      </c>
      <c r="F20" s="32"/>
      <c r="G20" s="32"/>
      <c r="H20" s="31"/>
      <c r="I20" s="90"/>
      <c r="L20" s="29"/>
      <c r="M20" s="30"/>
    </row>
    <row r="21" spans="1:13">
      <c r="A21" s="6">
        <v>36404</v>
      </c>
      <c r="B21" s="76">
        <v>24953.1</v>
      </c>
      <c r="C21" s="38">
        <v>188</v>
      </c>
      <c r="D21" s="38">
        <v>4672</v>
      </c>
      <c r="E21" s="32">
        <v>13.0407382025929</v>
      </c>
      <c r="F21" s="32"/>
      <c r="G21" s="32"/>
      <c r="H21" s="31"/>
      <c r="I21" s="90"/>
      <c r="L21" s="29"/>
      <c r="M21" s="30"/>
    </row>
    <row r="22" spans="1:13">
      <c r="A22" s="6">
        <v>36495</v>
      </c>
      <c r="B22" s="76">
        <v>26723.600000000002</v>
      </c>
      <c r="C22" s="38">
        <v>192.33333333333334</v>
      </c>
      <c r="D22" s="38">
        <v>5110</v>
      </c>
      <c r="E22" s="32">
        <v>13.629878852440346</v>
      </c>
      <c r="F22" s="32"/>
      <c r="G22" s="32"/>
      <c r="H22" s="31"/>
      <c r="I22" s="90"/>
      <c r="L22" s="29"/>
      <c r="M22" s="30"/>
    </row>
    <row r="23" spans="1:13">
      <c r="A23" s="6">
        <v>36586</v>
      </c>
      <c r="B23" s="76">
        <v>25038.699999999997</v>
      </c>
      <c r="C23" s="38">
        <v>194</v>
      </c>
      <c r="D23" s="38">
        <v>4834</v>
      </c>
      <c r="E23" s="32">
        <v>12.843087165839821</v>
      </c>
      <c r="F23" s="32"/>
      <c r="G23" s="32"/>
      <c r="H23" s="31"/>
      <c r="I23" s="90"/>
      <c r="L23" s="29"/>
      <c r="M23" s="30"/>
    </row>
    <row r="24" spans="1:13">
      <c r="A24" s="6">
        <v>36678</v>
      </c>
      <c r="B24" s="76">
        <v>23124.5</v>
      </c>
      <c r="C24" s="38">
        <v>195</v>
      </c>
      <c r="D24" s="38">
        <v>4478</v>
      </c>
      <c r="E24" s="32">
        <v>12.301288071954817</v>
      </c>
      <c r="F24" s="32"/>
      <c r="G24" s="32"/>
      <c r="H24" s="31"/>
      <c r="I24" s="90"/>
      <c r="L24" s="29"/>
      <c r="M24" s="30"/>
    </row>
    <row r="25" spans="1:13">
      <c r="A25" s="6">
        <v>36770</v>
      </c>
      <c r="B25" s="76">
        <v>24097.5</v>
      </c>
      <c r="C25" s="38">
        <v>192.66666666666666</v>
      </c>
      <c r="D25" s="38">
        <v>4606</v>
      </c>
      <c r="E25" s="32">
        <v>12.601899048666729</v>
      </c>
      <c r="F25" s="32"/>
      <c r="G25" s="32"/>
      <c r="H25" s="31"/>
      <c r="I25" s="90"/>
      <c r="L25" s="29"/>
      <c r="M25" s="30"/>
    </row>
    <row r="26" spans="1:13">
      <c r="A26" s="6">
        <v>36861</v>
      </c>
      <c r="B26" s="76">
        <v>25715.100000000002</v>
      </c>
      <c r="C26" s="38">
        <v>196.33333333333334</v>
      </c>
      <c r="D26" s="38">
        <v>5010</v>
      </c>
      <c r="E26" s="32">
        <v>13.471307305573017</v>
      </c>
      <c r="F26" s="32"/>
      <c r="G26" s="32"/>
      <c r="H26" s="31"/>
      <c r="I26" s="90"/>
      <c r="L26" s="29"/>
      <c r="M26" s="30"/>
    </row>
    <row r="27" spans="1:13">
      <c r="A27" s="6">
        <v>36951</v>
      </c>
      <c r="B27" s="76">
        <v>24577.599999999999</v>
      </c>
      <c r="C27" s="38">
        <v>196.66666666666666</v>
      </c>
      <c r="D27" s="38">
        <v>4805</v>
      </c>
      <c r="E27" s="32">
        <v>12.630231512780794</v>
      </c>
      <c r="F27" s="32"/>
      <c r="G27" s="32"/>
      <c r="H27" s="31"/>
      <c r="I27" s="90"/>
      <c r="L27" s="29"/>
      <c r="M27" s="30"/>
    </row>
    <row r="28" spans="1:13">
      <c r="A28" s="6">
        <v>37043</v>
      </c>
      <c r="B28" s="76">
        <v>23280.2</v>
      </c>
      <c r="C28" s="38">
        <v>196.66666666666666</v>
      </c>
      <c r="D28" s="38">
        <v>4546</v>
      </c>
      <c r="E28" s="32">
        <v>11.924684637996808</v>
      </c>
      <c r="F28" s="32"/>
      <c r="G28" s="32"/>
      <c r="H28" s="31"/>
      <c r="I28" s="90"/>
      <c r="L28" s="29"/>
      <c r="M28" s="30"/>
    </row>
    <row r="29" spans="1:13">
      <c r="A29" s="6">
        <v>37135</v>
      </c>
      <c r="B29" s="76">
        <v>23634.7</v>
      </c>
      <c r="C29" s="38">
        <v>193.66666666666666</v>
      </c>
      <c r="D29" s="38">
        <v>4548</v>
      </c>
      <c r="E29" s="32">
        <v>12.306567738166116</v>
      </c>
      <c r="F29" s="32"/>
      <c r="G29" s="32"/>
      <c r="H29" s="31"/>
      <c r="I29" s="90"/>
      <c r="L29" s="29"/>
      <c r="M29" s="30"/>
    </row>
    <row r="30" spans="1:13">
      <c r="A30" s="6">
        <v>37226</v>
      </c>
      <c r="B30" s="76">
        <v>26469.5</v>
      </c>
      <c r="C30" s="38">
        <v>199</v>
      </c>
      <c r="D30" s="38">
        <v>5239</v>
      </c>
      <c r="E30" s="32">
        <v>13.448687295361795</v>
      </c>
      <c r="F30" s="32">
        <v>49.814682721296002</v>
      </c>
      <c r="G30" s="32"/>
      <c r="H30" s="31"/>
      <c r="I30" s="90"/>
      <c r="L30" s="29"/>
      <c r="M30" s="30"/>
    </row>
    <row r="31" spans="1:13">
      <c r="A31" s="6">
        <v>37316</v>
      </c>
      <c r="B31" s="76">
        <v>24148.400000000001</v>
      </c>
      <c r="C31" s="38">
        <v>199.33333333333334</v>
      </c>
      <c r="D31" s="38">
        <v>4780</v>
      </c>
      <c r="E31" s="32">
        <v>12.3520996669656</v>
      </c>
      <c r="F31" s="32">
        <v>51.657441558441555</v>
      </c>
      <c r="G31" s="32"/>
      <c r="H31" s="31"/>
      <c r="I31" s="90"/>
      <c r="L31" s="29"/>
      <c r="M31" s="30"/>
    </row>
    <row r="32" spans="1:13">
      <c r="A32" s="6">
        <v>37408</v>
      </c>
      <c r="B32" s="76">
        <v>24279.600000000002</v>
      </c>
      <c r="C32" s="38">
        <v>199</v>
      </c>
      <c r="D32" s="38">
        <v>4797</v>
      </c>
      <c r="E32" s="32">
        <v>12.666516836129746</v>
      </c>
      <c r="F32" s="32">
        <v>47.541530303030299</v>
      </c>
      <c r="G32" s="32"/>
      <c r="H32" s="31"/>
      <c r="I32" s="90"/>
      <c r="L32" s="29"/>
      <c r="M32" s="30"/>
    </row>
    <row r="33" spans="1:17">
      <c r="A33" s="6">
        <v>37500</v>
      </c>
      <c r="B33" s="76">
        <v>25119.599999999999</v>
      </c>
      <c r="C33" s="38">
        <v>193.66666666666666</v>
      </c>
      <c r="D33" s="38">
        <v>4832</v>
      </c>
      <c r="E33" s="32">
        <v>12.786213677267087</v>
      </c>
      <c r="F33" s="32">
        <v>46.574015151515148</v>
      </c>
      <c r="G33" s="32"/>
      <c r="H33" s="31"/>
      <c r="I33" s="90"/>
      <c r="L33" s="29"/>
      <c r="M33" s="30"/>
    </row>
    <row r="34" spans="1:17">
      <c r="A34" s="6">
        <v>37591</v>
      </c>
      <c r="B34" s="76">
        <v>26715.200000000004</v>
      </c>
      <c r="C34" s="38">
        <v>198</v>
      </c>
      <c r="D34" s="38">
        <v>5255</v>
      </c>
      <c r="E34" s="32">
        <v>13.776362502584082</v>
      </c>
      <c r="F34" s="32">
        <v>43.264309523809516</v>
      </c>
      <c r="G34" s="32"/>
      <c r="H34" s="31"/>
      <c r="I34" s="90"/>
      <c r="L34" s="29"/>
      <c r="M34" s="30"/>
    </row>
    <row r="35" spans="1:17">
      <c r="A35" s="6">
        <v>37681</v>
      </c>
      <c r="B35" s="76">
        <v>24653.8</v>
      </c>
      <c r="C35" s="38">
        <v>199.66666666666666</v>
      </c>
      <c r="D35" s="38">
        <v>4898</v>
      </c>
      <c r="E35" s="32">
        <v>12.653440323446024</v>
      </c>
      <c r="F35" s="32">
        <v>47.914324675324671</v>
      </c>
      <c r="G35" s="32"/>
      <c r="H35" s="31"/>
      <c r="I35" s="90"/>
      <c r="L35" s="29"/>
      <c r="M35" s="30"/>
    </row>
    <row r="36" spans="1:17">
      <c r="A36" s="6">
        <v>37773</v>
      </c>
      <c r="B36" s="76">
        <v>23921.9</v>
      </c>
      <c r="C36" s="38">
        <v>199.33333333333334</v>
      </c>
      <c r="D36" s="38">
        <v>4741</v>
      </c>
      <c r="E36" s="32">
        <v>12.548239256306912</v>
      </c>
      <c r="F36" s="32">
        <v>56.530440115440108</v>
      </c>
      <c r="G36" s="32"/>
      <c r="H36" s="31"/>
      <c r="I36" s="90"/>
      <c r="L36" s="29"/>
      <c r="M36" s="30"/>
    </row>
    <row r="37" spans="1:17">
      <c r="A37" s="6">
        <v>37865</v>
      </c>
      <c r="B37" s="76">
        <v>24747.3</v>
      </c>
      <c r="C37" s="38">
        <v>195.66666666666666</v>
      </c>
      <c r="D37" s="38">
        <v>4807</v>
      </c>
      <c r="E37" s="32">
        <v>12.662610035687219</v>
      </c>
      <c r="F37" s="32">
        <v>56.811060606060607</v>
      </c>
      <c r="G37" s="32"/>
      <c r="H37" s="31"/>
      <c r="I37" s="90"/>
      <c r="L37" s="29"/>
      <c r="M37" s="30"/>
    </row>
    <row r="38" spans="1:17">
      <c r="A38" s="6">
        <v>37956</v>
      </c>
      <c r="B38" s="76">
        <v>27607.599999999999</v>
      </c>
      <c r="C38" s="38">
        <v>200.33333333333334</v>
      </c>
      <c r="D38" s="38">
        <v>5499</v>
      </c>
      <c r="E38" s="32">
        <v>14.043928250661256</v>
      </c>
      <c r="F38" s="32">
        <v>50.039603009500041</v>
      </c>
      <c r="G38" s="32"/>
      <c r="H38" s="31"/>
      <c r="I38" s="90"/>
      <c r="L38" s="29"/>
      <c r="M38" s="30"/>
    </row>
    <row r="39" spans="1:17">
      <c r="A39" s="6">
        <v>38047</v>
      </c>
      <c r="B39" s="76">
        <v>25716.9</v>
      </c>
      <c r="C39" s="38">
        <v>200.33333333333334</v>
      </c>
      <c r="D39" s="38">
        <v>5130</v>
      </c>
      <c r="E39" s="32">
        <v>13.063066884893724</v>
      </c>
      <c r="F39" s="32">
        <v>58.063412698412691</v>
      </c>
      <c r="G39" s="32"/>
      <c r="H39" s="31"/>
      <c r="I39" s="91"/>
      <c r="K39" s="36"/>
      <c r="L39" s="29"/>
      <c r="M39" s="30"/>
    </row>
    <row r="40" spans="1:17">
      <c r="A40" s="6">
        <v>38139</v>
      </c>
      <c r="B40" s="76">
        <v>24737.200000000001</v>
      </c>
      <c r="C40" s="38">
        <v>199.33333333333334</v>
      </c>
      <c r="D40" s="38">
        <v>4897</v>
      </c>
      <c r="E40" s="32">
        <v>12.473115326735256</v>
      </c>
      <c r="F40" s="32">
        <v>70.289318181818189</v>
      </c>
      <c r="G40" s="32"/>
      <c r="H40" s="31"/>
      <c r="I40" s="91"/>
      <c r="K40" s="36"/>
      <c r="L40" s="29"/>
      <c r="M40" s="30"/>
    </row>
    <row r="41" spans="1:17">
      <c r="A41" s="6">
        <v>38231</v>
      </c>
      <c r="B41" s="76">
        <v>25816.9</v>
      </c>
      <c r="C41" s="38">
        <v>196.66666666666666</v>
      </c>
      <c r="D41" s="38">
        <v>5047</v>
      </c>
      <c r="E41" s="32">
        <v>12.713709800087351</v>
      </c>
      <c r="F41" s="32">
        <v>72.30458152958154</v>
      </c>
      <c r="G41" s="32"/>
      <c r="H41" s="31"/>
      <c r="I41" s="91"/>
      <c r="K41" s="36"/>
      <c r="L41" s="29"/>
      <c r="M41" s="30"/>
    </row>
    <row r="42" spans="1:17">
      <c r="A42" s="6">
        <v>38322</v>
      </c>
      <c r="B42" s="76">
        <v>27192.400000000001</v>
      </c>
      <c r="C42" s="38">
        <v>201</v>
      </c>
      <c r="D42" s="38">
        <v>5435</v>
      </c>
      <c r="E42" s="32">
        <v>13.199735891925599</v>
      </c>
      <c r="F42" s="32">
        <v>69.444285714285726</v>
      </c>
      <c r="G42" s="32"/>
      <c r="H42" s="31"/>
      <c r="I42" s="91"/>
      <c r="K42" s="36"/>
      <c r="L42" s="29"/>
      <c r="M42" s="30"/>
    </row>
    <row r="43" spans="1:17">
      <c r="A43" s="6">
        <v>38412</v>
      </c>
      <c r="B43" s="76">
        <v>25537.8</v>
      </c>
      <c r="C43" s="38">
        <v>202.33333333333334</v>
      </c>
      <c r="D43" s="38">
        <v>5138</v>
      </c>
      <c r="E43" s="32">
        <v>12.311021904799679</v>
      </c>
      <c r="F43" s="32">
        <v>67.154932367149755</v>
      </c>
      <c r="G43" s="32"/>
      <c r="H43" s="31"/>
      <c r="I43" s="92"/>
      <c r="J43" s="58"/>
      <c r="K43" s="57"/>
      <c r="L43" s="59"/>
      <c r="M43" s="60"/>
    </row>
    <row r="44" spans="1:17">
      <c r="A44" s="6">
        <v>38504</v>
      </c>
      <c r="B44" s="76">
        <v>25030.5</v>
      </c>
      <c r="C44" s="38">
        <v>202</v>
      </c>
      <c r="D44" s="38">
        <v>5021</v>
      </c>
      <c r="E44" s="32">
        <v>12.137251316267385</v>
      </c>
      <c r="F44" s="32">
        <v>68.179711399711394</v>
      </c>
      <c r="G44" s="32"/>
      <c r="H44" s="31"/>
      <c r="I44" s="92"/>
      <c r="J44" s="57"/>
      <c r="K44" s="57"/>
      <c r="L44" s="62"/>
      <c r="M44" s="63"/>
    </row>
    <row r="45" spans="1:17">
      <c r="A45" s="6">
        <v>38596</v>
      </c>
      <c r="B45" s="76">
        <v>25527.5</v>
      </c>
      <c r="C45" s="38">
        <v>197.33333333333334</v>
      </c>
      <c r="D45" s="38">
        <v>5000</v>
      </c>
      <c r="E45" s="32">
        <v>12.28817241042743</v>
      </c>
      <c r="F45" s="32">
        <v>66.19547170462387</v>
      </c>
      <c r="G45" s="32"/>
      <c r="H45" s="31"/>
      <c r="I45" s="92"/>
      <c r="J45" s="57"/>
      <c r="K45" s="57"/>
      <c r="L45" s="62"/>
      <c r="M45" s="63"/>
    </row>
    <row r="46" spans="1:17">
      <c r="A46" s="6">
        <v>38687</v>
      </c>
      <c r="B46" s="76">
        <v>27485.800000000003</v>
      </c>
      <c r="C46" s="38">
        <v>202</v>
      </c>
      <c r="D46" s="38">
        <v>5525</v>
      </c>
      <c r="E46" s="32">
        <v>13.312951449863194</v>
      </c>
      <c r="F46" s="32">
        <v>59.827460317460321</v>
      </c>
      <c r="G46" s="32"/>
      <c r="H46" s="31"/>
      <c r="I46" s="92"/>
      <c r="J46" s="59"/>
      <c r="K46" s="57"/>
      <c r="L46" s="62"/>
      <c r="M46" s="63"/>
    </row>
    <row r="47" spans="1:17" ht="13">
      <c r="A47" s="6">
        <v>38777</v>
      </c>
      <c r="B47" s="76">
        <v>26207.600000000002</v>
      </c>
      <c r="C47" s="38">
        <v>204.33333333333334</v>
      </c>
      <c r="D47" s="38">
        <v>5335</v>
      </c>
      <c r="E47" s="32">
        <v>12.374868901475001</v>
      </c>
      <c r="F47" s="32">
        <v>56.394023119392692</v>
      </c>
      <c r="G47" s="32"/>
      <c r="H47" s="31"/>
      <c r="I47" s="93"/>
      <c r="J47" s="59"/>
      <c r="K47" s="72"/>
      <c r="L47" s="84"/>
      <c r="M47" s="84"/>
      <c r="N47" s="59"/>
      <c r="Q47" s="61"/>
    </row>
    <row r="48" spans="1:17" ht="13">
      <c r="A48" s="6">
        <v>38869</v>
      </c>
      <c r="B48" s="76">
        <v>24838.9</v>
      </c>
      <c r="C48" s="38">
        <v>202.33333333333334</v>
      </c>
      <c r="D48" s="38">
        <v>5007.6000000000004</v>
      </c>
      <c r="E48" s="32">
        <v>11.971218324971103</v>
      </c>
      <c r="F48" s="32">
        <v>63.473651515151523</v>
      </c>
      <c r="G48" s="32"/>
      <c r="H48" s="31"/>
      <c r="I48" s="93"/>
      <c r="J48" s="59"/>
      <c r="K48" s="72"/>
      <c r="L48" s="84"/>
      <c r="M48" s="84"/>
      <c r="N48" s="59"/>
      <c r="Q48" s="59"/>
    </row>
    <row r="49" spans="1:17" ht="13">
      <c r="A49" s="6">
        <v>38961</v>
      </c>
      <c r="B49" s="76">
        <v>25810.400000000001</v>
      </c>
      <c r="C49" s="38">
        <v>197.66666666666666</v>
      </c>
      <c r="D49" s="38">
        <v>5086.5</v>
      </c>
      <c r="E49" s="32">
        <v>11.984312821263233</v>
      </c>
      <c r="F49" s="32">
        <v>66.857934782608694</v>
      </c>
      <c r="G49" s="32"/>
      <c r="H49" s="31"/>
      <c r="I49" s="93"/>
      <c r="J49" s="59"/>
      <c r="K49" s="72"/>
      <c r="L49" s="84"/>
      <c r="M49" s="84"/>
      <c r="N49" s="59"/>
      <c r="O49" s="38"/>
      <c r="P49" s="38"/>
      <c r="Q49" s="83"/>
    </row>
    <row r="50" spans="1:17" ht="13">
      <c r="A50" s="6">
        <v>39052</v>
      </c>
      <c r="B50" s="76">
        <v>27879.7</v>
      </c>
      <c r="C50" s="38">
        <v>202.33333333333334</v>
      </c>
      <c r="D50" s="38">
        <v>5624.8</v>
      </c>
      <c r="E50" s="32">
        <v>13.150787509561111</v>
      </c>
      <c r="F50" s="32">
        <v>59.988316738816735</v>
      </c>
      <c r="G50" s="32"/>
      <c r="H50" s="31"/>
      <c r="I50" s="93"/>
      <c r="J50" s="59"/>
      <c r="K50" s="72"/>
      <c r="L50" s="84"/>
      <c r="M50" s="84"/>
      <c r="N50" s="59"/>
      <c r="O50" s="82"/>
      <c r="P50" s="82"/>
      <c r="Q50" s="83"/>
    </row>
    <row r="51" spans="1:17" ht="13">
      <c r="A51" s="6">
        <v>39142</v>
      </c>
      <c r="B51" s="76">
        <v>26684</v>
      </c>
      <c r="C51" s="38">
        <v>202.66666666666666</v>
      </c>
      <c r="D51" s="38">
        <v>5395.8</v>
      </c>
      <c r="E51" s="32">
        <v>12.36024268414524</v>
      </c>
      <c r="F51" s="32">
        <v>60.548560606060619</v>
      </c>
      <c r="G51" s="32"/>
      <c r="H51" s="31"/>
      <c r="I51" s="98"/>
      <c r="J51" s="99"/>
      <c r="K51" s="100"/>
      <c r="L51" s="101"/>
      <c r="M51" s="101"/>
      <c r="N51" s="99"/>
      <c r="O51" s="38"/>
      <c r="P51" s="38"/>
      <c r="Q51" s="61"/>
    </row>
    <row r="52" spans="1:17" ht="13">
      <c r="A52" s="6">
        <v>39234</v>
      </c>
      <c r="B52" s="76">
        <v>25525.600000000002</v>
      </c>
      <c r="C52" s="38">
        <v>201.66666666666666</v>
      </c>
      <c r="D52" s="38">
        <v>5128.2</v>
      </c>
      <c r="E52" s="32">
        <v>12.211176021800105</v>
      </c>
      <c r="F52" s="32">
        <v>68.837777777777774</v>
      </c>
      <c r="G52" s="32"/>
      <c r="H52" s="31"/>
      <c r="I52" s="98"/>
      <c r="J52" s="99"/>
      <c r="K52" s="100"/>
      <c r="L52" s="101"/>
      <c r="M52" s="101"/>
      <c r="N52" s="99"/>
      <c r="O52" s="38"/>
      <c r="P52" s="38"/>
      <c r="Q52" s="61"/>
    </row>
    <row r="53" spans="1:17" ht="13">
      <c r="A53" s="6">
        <v>39326</v>
      </c>
      <c r="B53" s="76">
        <v>26566.3</v>
      </c>
      <c r="C53" s="38">
        <v>198.33333333333334</v>
      </c>
      <c r="D53" s="38">
        <v>5255.5</v>
      </c>
      <c r="E53" s="32">
        <v>12.286645729512665</v>
      </c>
      <c r="F53" s="32">
        <v>66.458661145617668</v>
      </c>
      <c r="G53" s="32"/>
      <c r="H53" s="31"/>
      <c r="I53" s="98"/>
      <c r="J53" s="99"/>
      <c r="K53" s="100"/>
      <c r="L53" s="101"/>
      <c r="M53" s="101"/>
      <c r="N53" s="99"/>
      <c r="O53" s="38"/>
      <c r="P53" s="38"/>
      <c r="Q53" s="83"/>
    </row>
    <row r="54" spans="1:17" ht="13">
      <c r="A54" s="6">
        <v>39417</v>
      </c>
      <c r="B54" s="76">
        <v>30395.700000000004</v>
      </c>
      <c r="C54" s="38">
        <v>203.33333333333334</v>
      </c>
      <c r="D54" s="38">
        <v>6163</v>
      </c>
      <c r="E54" s="32">
        <v>13.969612533574804</v>
      </c>
      <c r="F54" s="32">
        <v>54.499958592132508</v>
      </c>
      <c r="G54" s="32"/>
      <c r="H54" s="31"/>
      <c r="I54" s="98"/>
      <c r="J54" s="99"/>
      <c r="K54" s="100"/>
      <c r="L54" s="101"/>
      <c r="M54" s="101"/>
      <c r="N54" s="99"/>
      <c r="O54" s="102"/>
      <c r="P54" s="102"/>
      <c r="Q54" s="83"/>
    </row>
    <row r="55" spans="1:17" ht="13">
      <c r="A55" s="6">
        <v>39508</v>
      </c>
      <c r="B55" s="76">
        <v>29600.699999999997</v>
      </c>
      <c r="C55" s="38">
        <v>204</v>
      </c>
      <c r="D55" s="38">
        <v>6023.7</v>
      </c>
      <c r="E55" s="32">
        <v>12.556202486255907</v>
      </c>
      <c r="F55" s="32">
        <v>55.110295815295814</v>
      </c>
      <c r="G55" s="32"/>
      <c r="H55" s="31"/>
      <c r="I55" s="100">
        <f t="shared" ref="I55:I86" si="0">B55</f>
        <v>29600.699999999997</v>
      </c>
      <c r="J55" s="99">
        <f t="shared" ref="J55:J86" si="1">K55/I55*1000</f>
        <v>203.49856591229263</v>
      </c>
      <c r="K55" s="100">
        <f t="shared" ref="K55:K64" si="2">+D55</f>
        <v>6023.7</v>
      </c>
      <c r="L55" s="101">
        <f t="shared" ref="L55:L86" si="3">F55</f>
        <v>55.110295815295814</v>
      </c>
      <c r="M55" s="101">
        <f t="shared" ref="M55:M86" si="4">L55</f>
        <v>55.110295815295814</v>
      </c>
      <c r="N55" s="99">
        <f t="shared" ref="N55:N83" si="5">AVERAGE(L55:M55)</f>
        <v>55.110295815295814</v>
      </c>
      <c r="O55" s="73"/>
      <c r="P55" s="73"/>
      <c r="Q55" s="61"/>
    </row>
    <row r="56" spans="1:17" ht="13">
      <c r="A56" s="6">
        <v>39600</v>
      </c>
      <c r="B56" s="76">
        <v>27941.199999999997</v>
      </c>
      <c r="C56" s="38">
        <v>200.66666666666666</v>
      </c>
      <c r="D56" s="38">
        <v>5592.9</v>
      </c>
      <c r="E56" s="32">
        <v>11.651960315081469</v>
      </c>
      <c r="F56" s="32">
        <v>69.836587301587301</v>
      </c>
      <c r="G56" s="32"/>
      <c r="H56" s="31"/>
      <c r="I56" s="100">
        <f t="shared" si="0"/>
        <v>27941.199999999997</v>
      </c>
      <c r="J56" s="99">
        <f t="shared" si="1"/>
        <v>200.16677880692313</v>
      </c>
      <c r="K56" s="100">
        <f t="shared" si="2"/>
        <v>5592.9</v>
      </c>
      <c r="L56" s="101">
        <f t="shared" si="3"/>
        <v>69.836587301587301</v>
      </c>
      <c r="M56" s="101">
        <f t="shared" si="4"/>
        <v>69.836587301587301</v>
      </c>
      <c r="N56" s="99">
        <f t="shared" si="5"/>
        <v>69.836587301587301</v>
      </c>
      <c r="O56" s="73"/>
      <c r="P56" s="73"/>
      <c r="Q56" s="61"/>
    </row>
    <row r="57" spans="1:17" ht="13">
      <c r="A57" s="6">
        <v>39692</v>
      </c>
      <c r="B57" s="76">
        <v>28696</v>
      </c>
      <c r="C57" s="38">
        <v>196.66666666666666</v>
      </c>
      <c r="D57" s="38">
        <v>5632.2</v>
      </c>
      <c r="E57" s="32">
        <v>12.05249191989587</v>
      </c>
      <c r="F57" s="32">
        <v>75.594213564213575</v>
      </c>
      <c r="G57" s="32"/>
      <c r="H57" s="31"/>
      <c r="I57" s="100">
        <f t="shared" si="0"/>
        <v>28696</v>
      </c>
      <c r="J57" s="99">
        <f t="shared" si="1"/>
        <v>196.27125731809312</v>
      </c>
      <c r="K57" s="100">
        <f t="shared" si="2"/>
        <v>5632.2</v>
      </c>
      <c r="L57" s="101">
        <f t="shared" si="3"/>
        <v>75.594213564213575</v>
      </c>
      <c r="M57" s="101">
        <f t="shared" si="4"/>
        <v>75.594213564213575</v>
      </c>
      <c r="N57" s="99">
        <f t="shared" si="5"/>
        <v>75.594213564213575</v>
      </c>
      <c r="O57" s="38"/>
      <c r="P57" s="38"/>
      <c r="Q57" s="83"/>
    </row>
    <row r="58" spans="1:17" ht="13">
      <c r="A58" s="6">
        <v>39783</v>
      </c>
      <c r="B58" s="76">
        <v>30214.1</v>
      </c>
      <c r="C58" s="38">
        <v>202.33333333333334</v>
      </c>
      <c r="D58" s="38">
        <v>6098.1</v>
      </c>
      <c r="E58" s="32">
        <v>13.24933693973416</v>
      </c>
      <c r="F58" s="32">
        <v>58.777604188336454</v>
      </c>
      <c r="G58" s="32"/>
      <c r="H58" s="31"/>
      <c r="I58" s="100">
        <f t="shared" si="0"/>
        <v>30214.1</v>
      </c>
      <c r="J58" s="99">
        <f t="shared" si="1"/>
        <v>201.82960935457288</v>
      </c>
      <c r="K58" s="100">
        <f t="shared" si="2"/>
        <v>6098.1</v>
      </c>
      <c r="L58" s="101">
        <f t="shared" si="3"/>
        <v>58.777604188336454</v>
      </c>
      <c r="M58" s="101">
        <f t="shared" si="4"/>
        <v>58.777604188336454</v>
      </c>
      <c r="N58" s="99">
        <f t="shared" si="5"/>
        <v>58.777604188336454</v>
      </c>
      <c r="O58" s="82"/>
      <c r="P58" s="82"/>
      <c r="Q58" s="83"/>
    </row>
    <row r="59" spans="1:17" ht="13">
      <c r="A59" s="6">
        <v>39873</v>
      </c>
      <c r="B59" s="76">
        <v>28503.1</v>
      </c>
      <c r="C59" s="38">
        <v>204.33333333333334</v>
      </c>
      <c r="D59" s="38">
        <v>5814</v>
      </c>
      <c r="E59" s="32">
        <v>12.559847382543106</v>
      </c>
      <c r="F59" s="32">
        <v>58.112456709956717</v>
      </c>
      <c r="G59" s="32"/>
      <c r="H59" s="31"/>
      <c r="I59" s="100">
        <f t="shared" si="0"/>
        <v>28503.1</v>
      </c>
      <c r="J59" s="99">
        <f t="shared" si="1"/>
        <v>203.97781293964516</v>
      </c>
      <c r="K59" s="100">
        <f t="shared" si="2"/>
        <v>5814</v>
      </c>
      <c r="L59" s="101">
        <f t="shared" si="3"/>
        <v>58.112456709956717</v>
      </c>
      <c r="M59" s="101">
        <f t="shared" si="4"/>
        <v>58.112456709956717</v>
      </c>
      <c r="N59" s="99">
        <f t="shared" si="5"/>
        <v>58.112456709956717</v>
      </c>
      <c r="O59" s="73"/>
      <c r="P59" s="73"/>
      <c r="Q59" s="61"/>
    </row>
    <row r="60" spans="1:17" ht="13">
      <c r="A60" s="6">
        <v>39965</v>
      </c>
      <c r="B60" s="76">
        <v>27072.3</v>
      </c>
      <c r="C60" s="38">
        <v>203.33333333333334</v>
      </c>
      <c r="D60" s="38">
        <v>5489.5</v>
      </c>
      <c r="E60" s="32">
        <v>12.046664638717386</v>
      </c>
      <c r="F60" s="32">
        <v>59.446378787878785</v>
      </c>
      <c r="G60" s="32"/>
      <c r="H60" s="31"/>
      <c r="I60" s="100">
        <f t="shared" si="0"/>
        <v>27072.3</v>
      </c>
      <c r="J60" s="99">
        <f t="shared" si="1"/>
        <v>202.77183689601549</v>
      </c>
      <c r="K60" s="100">
        <f t="shared" si="2"/>
        <v>5489.5</v>
      </c>
      <c r="L60" s="101">
        <f t="shared" si="3"/>
        <v>59.446378787878785</v>
      </c>
      <c r="M60" s="101">
        <f t="shared" si="4"/>
        <v>59.446378787878785</v>
      </c>
      <c r="N60" s="99">
        <f t="shared" si="5"/>
        <v>59.446378787878785</v>
      </c>
      <c r="O60" s="73"/>
      <c r="P60" s="73"/>
      <c r="Q60" s="61"/>
    </row>
    <row r="61" spans="1:17" ht="13">
      <c r="A61" s="6">
        <v>40057</v>
      </c>
      <c r="B61" s="76">
        <v>28428.1</v>
      </c>
      <c r="C61" s="38">
        <v>201</v>
      </c>
      <c r="D61" s="38">
        <v>5699.5</v>
      </c>
      <c r="E61" s="32">
        <v>12.560226324077835</v>
      </c>
      <c r="F61" s="32">
        <v>54.353505866114553</v>
      </c>
      <c r="G61" s="32"/>
      <c r="H61" s="31"/>
      <c r="I61" s="100">
        <f t="shared" si="0"/>
        <v>28428.1</v>
      </c>
      <c r="J61" s="99">
        <f t="shared" si="1"/>
        <v>200.48824930262663</v>
      </c>
      <c r="K61" s="100">
        <f t="shared" si="2"/>
        <v>5699.5</v>
      </c>
      <c r="L61" s="101">
        <f t="shared" si="3"/>
        <v>54.353505866114553</v>
      </c>
      <c r="M61" s="101">
        <f t="shared" si="4"/>
        <v>54.353505866114553</v>
      </c>
      <c r="N61" s="99">
        <f t="shared" si="5"/>
        <v>54.353505866114553</v>
      </c>
      <c r="O61" s="38"/>
      <c r="P61" s="38"/>
      <c r="Q61" s="83"/>
    </row>
    <row r="62" spans="1:17" ht="13">
      <c r="A62" s="6">
        <v>40148</v>
      </c>
      <c r="B62" s="76">
        <v>29614.7</v>
      </c>
      <c r="C62" s="38">
        <v>203</v>
      </c>
      <c r="D62" s="38">
        <v>5996</v>
      </c>
      <c r="E62" s="32">
        <v>13.013747738949766</v>
      </c>
      <c r="F62" s="32">
        <v>55.571015151515155</v>
      </c>
      <c r="G62" s="32"/>
      <c r="H62" s="31"/>
      <c r="I62" s="100">
        <f t="shared" si="0"/>
        <v>29614.7</v>
      </c>
      <c r="J62" s="99">
        <f t="shared" si="1"/>
        <v>202.46701806872937</v>
      </c>
      <c r="K62" s="100">
        <f t="shared" si="2"/>
        <v>5996</v>
      </c>
      <c r="L62" s="101">
        <f t="shared" si="3"/>
        <v>55.571015151515155</v>
      </c>
      <c r="M62" s="101">
        <f t="shared" si="4"/>
        <v>55.571015151515155</v>
      </c>
      <c r="N62" s="99">
        <f t="shared" si="5"/>
        <v>55.571015151515155</v>
      </c>
      <c r="O62" s="82"/>
      <c r="P62" s="82"/>
      <c r="Q62" s="83"/>
    </row>
    <row r="63" spans="1:17" ht="13">
      <c r="A63" s="6">
        <v>40238</v>
      </c>
      <c r="B63" s="76">
        <v>27629.8</v>
      </c>
      <c r="C63" s="38">
        <v>203.66666666666666</v>
      </c>
      <c r="D63" s="38">
        <v>5607.2999999999993</v>
      </c>
      <c r="E63" s="32">
        <v>11.838689278040409</v>
      </c>
      <c r="F63" s="32">
        <v>65.907688405797089</v>
      </c>
      <c r="G63" s="32"/>
      <c r="H63" s="31"/>
      <c r="I63" s="100">
        <f t="shared" si="0"/>
        <v>27629.8</v>
      </c>
      <c r="J63" s="99">
        <f t="shared" si="1"/>
        <v>202.94392286589115</v>
      </c>
      <c r="K63" s="100">
        <f t="shared" si="2"/>
        <v>5607.2999999999993</v>
      </c>
      <c r="L63" s="101">
        <f t="shared" si="3"/>
        <v>65.907688405797089</v>
      </c>
      <c r="M63" s="101">
        <f t="shared" si="4"/>
        <v>65.907688405797089</v>
      </c>
      <c r="N63" s="99">
        <f t="shared" si="5"/>
        <v>65.907688405797089</v>
      </c>
      <c r="O63" s="73"/>
      <c r="P63" s="73"/>
      <c r="Q63" s="61" t="s">
        <v>92</v>
      </c>
    </row>
    <row r="64" spans="1:17" ht="13">
      <c r="A64" s="6">
        <v>40330</v>
      </c>
      <c r="B64" s="76">
        <v>26074.100000000002</v>
      </c>
      <c r="C64" s="38">
        <v>204</v>
      </c>
      <c r="D64" s="38">
        <v>5302.0999999999995</v>
      </c>
      <c r="E64" s="32">
        <v>11.377219531331976</v>
      </c>
      <c r="F64" s="32">
        <v>77.039151515151516</v>
      </c>
      <c r="G64" s="32"/>
      <c r="H64" s="31"/>
      <c r="I64" s="100">
        <f t="shared" si="0"/>
        <v>26074.100000000002</v>
      </c>
      <c r="J64" s="99">
        <f t="shared" si="1"/>
        <v>203.34738303527249</v>
      </c>
      <c r="K64" s="100">
        <f t="shared" si="2"/>
        <v>5302.0999999999995</v>
      </c>
      <c r="L64" s="101">
        <f t="shared" si="3"/>
        <v>77.039151515151516</v>
      </c>
      <c r="M64" s="101">
        <f t="shared" si="4"/>
        <v>77.039151515151516</v>
      </c>
      <c r="N64" s="99">
        <f t="shared" si="5"/>
        <v>77.039151515151516</v>
      </c>
      <c r="O64" s="73"/>
      <c r="P64" s="73"/>
      <c r="Q64" s="61" t="s">
        <v>92</v>
      </c>
    </row>
    <row r="65" spans="1:18" ht="13">
      <c r="A65" s="6">
        <v>40422</v>
      </c>
      <c r="B65" s="76">
        <v>26930.5</v>
      </c>
      <c r="C65" s="38">
        <v>201</v>
      </c>
      <c r="D65" s="38">
        <v>5401</v>
      </c>
      <c r="E65" s="32">
        <v>11.732695788530847</v>
      </c>
      <c r="F65" s="32">
        <v>78.205541125541131</v>
      </c>
      <c r="G65" s="32"/>
      <c r="H65" s="31"/>
      <c r="I65" s="100">
        <f t="shared" si="0"/>
        <v>26930.5</v>
      </c>
      <c r="J65" s="99">
        <f t="shared" si="1"/>
        <v>200.55327602532444</v>
      </c>
      <c r="K65" s="100">
        <f t="shared" ref="K65:K70" si="6">+D65</f>
        <v>5401</v>
      </c>
      <c r="L65" s="101">
        <f t="shared" si="3"/>
        <v>78.205541125541131</v>
      </c>
      <c r="M65" s="101">
        <f t="shared" si="4"/>
        <v>78.205541125541131</v>
      </c>
      <c r="N65" s="99">
        <f t="shared" si="5"/>
        <v>78.205541125541131</v>
      </c>
      <c r="O65" s="38">
        <f>AVERAGE(L63:L66)</f>
        <v>72.113611134638305</v>
      </c>
      <c r="P65" s="38">
        <f>AVERAGE(M63:M66)</f>
        <v>72.113611134638305</v>
      </c>
      <c r="Q65" s="83">
        <f>AVERAGE(O65:P65)</f>
        <v>72.113611134638305</v>
      </c>
    </row>
    <row r="66" spans="1:18" ht="13">
      <c r="A66" s="6">
        <v>40513</v>
      </c>
      <c r="B66" s="76">
        <v>29625.5</v>
      </c>
      <c r="C66" s="38">
        <v>207.33333333333334</v>
      </c>
      <c r="D66" s="38">
        <v>6126.1</v>
      </c>
      <c r="E66" s="32">
        <v>12.828508408314624</v>
      </c>
      <c r="F66" s="32">
        <v>67.302063492063496</v>
      </c>
      <c r="G66" s="32"/>
      <c r="H66" s="31"/>
      <c r="I66" s="100">
        <f t="shared" si="0"/>
        <v>29625.5</v>
      </c>
      <c r="J66" s="99">
        <f t="shared" si="1"/>
        <v>206.78469561695161</v>
      </c>
      <c r="K66" s="100">
        <f t="shared" si="6"/>
        <v>6126.1</v>
      </c>
      <c r="L66" s="101">
        <f t="shared" si="3"/>
        <v>67.302063492063496</v>
      </c>
      <c r="M66" s="101">
        <f t="shared" si="4"/>
        <v>67.302063492063496</v>
      </c>
      <c r="N66" s="99">
        <f t="shared" si="5"/>
        <v>67.302063492063496</v>
      </c>
      <c r="O66" s="82">
        <v>72</v>
      </c>
      <c r="P66" s="82">
        <v>72</v>
      </c>
      <c r="Q66" s="83">
        <f>AVERAGE(O66:P66)</f>
        <v>72</v>
      </c>
    </row>
    <row r="67" spans="1:18" ht="13">
      <c r="A67" s="6">
        <v>40603</v>
      </c>
      <c r="B67" s="76">
        <v>27482.9</v>
      </c>
      <c r="C67" s="38">
        <v>208.33333333333334</v>
      </c>
      <c r="D67" s="38">
        <v>5718.7000000000007</v>
      </c>
      <c r="E67" s="32">
        <v>11.418668680473745</v>
      </c>
      <c r="F67" s="32">
        <v>78.382802967563848</v>
      </c>
      <c r="G67" s="32"/>
      <c r="H67" s="31"/>
      <c r="I67" s="100">
        <f t="shared" si="0"/>
        <v>27482.9</v>
      </c>
      <c r="J67" s="99">
        <f t="shared" si="1"/>
        <v>208.08211651608821</v>
      </c>
      <c r="K67" s="100">
        <f t="shared" si="6"/>
        <v>5718.7000000000007</v>
      </c>
      <c r="L67" s="101">
        <f t="shared" si="3"/>
        <v>78.382802967563848</v>
      </c>
      <c r="M67" s="101">
        <f t="shared" si="4"/>
        <v>78.382802967563848</v>
      </c>
      <c r="N67" s="99">
        <f t="shared" si="5"/>
        <v>78.382802967563848</v>
      </c>
      <c r="O67" s="103"/>
      <c r="P67" s="103"/>
      <c r="Q67" s="104" t="s">
        <v>92</v>
      </c>
    </row>
    <row r="68" spans="1:18" ht="13">
      <c r="A68" s="6">
        <v>40695</v>
      </c>
      <c r="B68" s="76">
        <v>26110.400000000001</v>
      </c>
      <c r="C68" s="38">
        <v>206</v>
      </c>
      <c r="D68" s="38">
        <v>5370.4</v>
      </c>
      <c r="E68" s="32">
        <v>11.057370843041829</v>
      </c>
      <c r="F68" s="32">
        <v>89.493174603174609</v>
      </c>
      <c r="G68" s="32"/>
      <c r="H68" s="31"/>
      <c r="I68" s="100">
        <f t="shared" si="0"/>
        <v>26110.400000000001</v>
      </c>
      <c r="J68" s="99">
        <f t="shared" si="1"/>
        <v>205.68049512837794</v>
      </c>
      <c r="K68" s="100">
        <f t="shared" si="6"/>
        <v>5370.4</v>
      </c>
      <c r="L68" s="101">
        <f t="shared" si="3"/>
        <v>89.493174603174609</v>
      </c>
      <c r="M68" s="101">
        <f t="shared" si="4"/>
        <v>89.493174603174609</v>
      </c>
      <c r="N68" s="99">
        <f t="shared" si="5"/>
        <v>89.493174603174609</v>
      </c>
      <c r="O68" s="103"/>
      <c r="P68" s="103"/>
      <c r="Q68" s="104" t="s">
        <v>92</v>
      </c>
    </row>
    <row r="69" spans="1:18" ht="13">
      <c r="A69" s="6">
        <v>40787</v>
      </c>
      <c r="B69" s="76">
        <v>27378.9</v>
      </c>
      <c r="C69" s="38">
        <v>200.66666666666666</v>
      </c>
      <c r="D69" s="38">
        <v>5483.6</v>
      </c>
      <c r="E69" s="32">
        <v>10.990082602425522</v>
      </c>
      <c r="F69" s="32">
        <v>92.711820220841972</v>
      </c>
      <c r="G69" s="32"/>
      <c r="H69" s="31"/>
      <c r="I69" s="100">
        <f t="shared" si="0"/>
        <v>27378.9</v>
      </c>
      <c r="J69" s="99">
        <f t="shared" si="1"/>
        <v>200.28562140918737</v>
      </c>
      <c r="K69" s="100">
        <f t="shared" si="6"/>
        <v>5483.6</v>
      </c>
      <c r="L69" s="101">
        <f t="shared" si="3"/>
        <v>92.711820220841972</v>
      </c>
      <c r="M69" s="101">
        <f t="shared" si="4"/>
        <v>92.711820220841972</v>
      </c>
      <c r="N69" s="99">
        <f t="shared" si="5"/>
        <v>92.711820220841972</v>
      </c>
      <c r="O69" s="38">
        <f>AVERAGE(L67:L70)</f>
        <v>86.404131987577642</v>
      </c>
      <c r="P69" s="38">
        <f>AVERAGE(M67:M70)</f>
        <v>86.404131987577642</v>
      </c>
      <c r="Q69" s="83">
        <f>AVERAGE(O69:P69)</f>
        <v>86.404131987577642</v>
      </c>
    </row>
    <row r="70" spans="1:18" ht="13">
      <c r="A70" s="6">
        <v>40878</v>
      </c>
      <c r="B70" s="76">
        <v>29887.999999999996</v>
      </c>
      <c r="C70" s="38">
        <v>207.33333333333334</v>
      </c>
      <c r="D70" s="38">
        <v>6185.5</v>
      </c>
      <c r="E70" s="32">
        <v>12.248741965146689</v>
      </c>
      <c r="F70" s="32">
        <v>85.028730158730156</v>
      </c>
      <c r="G70" s="32"/>
      <c r="H70" s="31"/>
      <c r="I70" s="100">
        <f t="shared" si="0"/>
        <v>29887.999999999996</v>
      </c>
      <c r="J70" s="99">
        <f t="shared" si="1"/>
        <v>206.95596895074951</v>
      </c>
      <c r="K70" s="100">
        <f t="shared" si="6"/>
        <v>6185.5</v>
      </c>
      <c r="L70" s="101">
        <f t="shared" si="3"/>
        <v>85.028730158730156</v>
      </c>
      <c r="M70" s="101">
        <f t="shared" si="4"/>
        <v>85.028730158730156</v>
      </c>
      <c r="N70" s="99">
        <f t="shared" si="5"/>
        <v>85.028730158730156</v>
      </c>
      <c r="O70" s="82">
        <v>86</v>
      </c>
      <c r="P70" s="82">
        <v>86</v>
      </c>
      <c r="Q70" s="83">
        <f>AVERAGE(O70:P70)</f>
        <v>86</v>
      </c>
    </row>
    <row r="71" spans="1:18" ht="13">
      <c r="A71" s="6">
        <v>40969</v>
      </c>
      <c r="B71" s="76">
        <v>28104.600000000002</v>
      </c>
      <c r="C71" s="38">
        <v>208.66666666666666</v>
      </c>
      <c r="D71" s="38">
        <v>5858</v>
      </c>
      <c r="E71" s="32">
        <v>11.120307818707934</v>
      </c>
      <c r="F71" s="32">
        <v>84.114761904761906</v>
      </c>
      <c r="G71" s="32"/>
      <c r="H71" s="31"/>
      <c r="I71" s="100">
        <f t="shared" si="0"/>
        <v>28104.600000000002</v>
      </c>
      <c r="J71" s="99">
        <f t="shared" si="1"/>
        <v>208.43562975455973</v>
      </c>
      <c r="K71" s="100">
        <f t="shared" ref="K71:K76" si="7">+D71</f>
        <v>5858</v>
      </c>
      <c r="L71" s="101">
        <f t="shared" si="3"/>
        <v>84.114761904761906</v>
      </c>
      <c r="M71" s="101">
        <f t="shared" si="4"/>
        <v>84.114761904761906</v>
      </c>
      <c r="N71" s="99">
        <f t="shared" si="5"/>
        <v>84.114761904761906</v>
      </c>
      <c r="O71" s="73"/>
      <c r="P71" s="73"/>
      <c r="Q71" s="61" t="s">
        <v>92</v>
      </c>
    </row>
    <row r="72" spans="1:18" ht="13">
      <c r="A72" s="6">
        <v>41061</v>
      </c>
      <c r="B72" s="76">
        <v>26660.799999999999</v>
      </c>
      <c r="C72" s="38">
        <v>207.33333333333334</v>
      </c>
      <c r="D72" s="38">
        <v>5519.2</v>
      </c>
      <c r="E72" s="32">
        <v>10.943888596504927</v>
      </c>
      <c r="F72" s="32">
        <v>85.306962481962501</v>
      </c>
      <c r="G72" s="32"/>
      <c r="H72" s="31"/>
      <c r="I72" s="100">
        <f t="shared" si="0"/>
        <v>26660.799999999999</v>
      </c>
      <c r="J72" s="99">
        <f t="shared" si="1"/>
        <v>207.0155434195523</v>
      </c>
      <c r="K72" s="100">
        <f t="shared" si="7"/>
        <v>5519.2</v>
      </c>
      <c r="L72" s="101">
        <f t="shared" si="3"/>
        <v>85.306962481962501</v>
      </c>
      <c r="M72" s="101">
        <f t="shared" si="4"/>
        <v>85.306962481962501</v>
      </c>
      <c r="N72" s="99">
        <f t="shared" si="5"/>
        <v>85.306962481962501</v>
      </c>
      <c r="O72" s="73"/>
      <c r="P72" s="73"/>
      <c r="Q72" s="61" t="s">
        <v>92</v>
      </c>
    </row>
    <row r="73" spans="1:18" ht="13">
      <c r="A73" s="6">
        <v>41153</v>
      </c>
      <c r="B73" s="76">
        <v>27964.699999999997</v>
      </c>
      <c r="C73" s="38">
        <v>201.33333333333334</v>
      </c>
      <c r="D73" s="38">
        <v>5631.2</v>
      </c>
      <c r="E73" s="32">
        <v>11.190829934500611</v>
      </c>
      <c r="F73" s="32">
        <v>84.737167556572587</v>
      </c>
      <c r="G73" s="32"/>
      <c r="H73" s="31"/>
      <c r="I73" s="100">
        <f t="shared" si="0"/>
        <v>27964.699999999997</v>
      </c>
      <c r="J73" s="99">
        <f t="shared" si="1"/>
        <v>201.36815342199273</v>
      </c>
      <c r="K73" s="100">
        <f t="shared" si="7"/>
        <v>5631.2</v>
      </c>
      <c r="L73" s="101">
        <f t="shared" si="3"/>
        <v>84.737167556572587</v>
      </c>
      <c r="M73" s="101">
        <f t="shared" si="4"/>
        <v>84.737167556572587</v>
      </c>
      <c r="N73" s="99">
        <f t="shared" si="5"/>
        <v>84.737167556572587</v>
      </c>
      <c r="O73" s="38">
        <f>AVERAGE(L71:L74)</f>
        <v>83.686293397360345</v>
      </c>
      <c r="P73" s="38">
        <f>AVERAGE(M71:M74)</f>
        <v>83.686293397360345</v>
      </c>
      <c r="Q73" s="83">
        <f>AVERAGE(O73:P73)</f>
        <v>83.686293397360345</v>
      </c>
    </row>
    <row r="74" spans="1:18" ht="13">
      <c r="A74" s="6">
        <v>41244</v>
      </c>
      <c r="B74" s="76">
        <v>30433.199999999997</v>
      </c>
      <c r="C74" s="38">
        <v>205.66666666666666</v>
      </c>
      <c r="D74" s="38">
        <v>6244.0999999999995</v>
      </c>
      <c r="E74" s="32">
        <v>12.694219193475423</v>
      </c>
      <c r="F74" s="32">
        <v>80.586281646144357</v>
      </c>
      <c r="G74" s="32"/>
      <c r="H74" s="31"/>
      <c r="I74" s="100">
        <f t="shared" si="0"/>
        <v>30433.199999999997</v>
      </c>
      <c r="J74" s="99">
        <f t="shared" si="1"/>
        <v>205.17395475993322</v>
      </c>
      <c r="K74" s="100">
        <f t="shared" si="7"/>
        <v>6244.0999999999995</v>
      </c>
      <c r="L74" s="101">
        <f t="shared" si="3"/>
        <v>80.586281646144357</v>
      </c>
      <c r="M74" s="101">
        <f t="shared" si="4"/>
        <v>80.586281646144357</v>
      </c>
      <c r="N74" s="99">
        <f t="shared" si="5"/>
        <v>80.586281646144357</v>
      </c>
      <c r="O74" s="82">
        <v>84</v>
      </c>
      <c r="P74" s="82">
        <v>84</v>
      </c>
      <c r="Q74" s="83">
        <f>AVERAGE(O74:P74)</f>
        <v>84</v>
      </c>
      <c r="R74" s="106"/>
    </row>
    <row r="75" spans="1:18" ht="13">
      <c r="A75" s="6">
        <v>41334</v>
      </c>
      <c r="B75" s="76">
        <v>27863.8</v>
      </c>
      <c r="C75" s="38">
        <v>207.66666666666666</v>
      </c>
      <c r="D75" s="38">
        <v>5775.3</v>
      </c>
      <c r="E75" s="32">
        <v>11.46653267793608</v>
      </c>
      <c r="F75" s="32">
        <v>81.081445279866344</v>
      </c>
      <c r="G75" s="32"/>
      <c r="H75" s="31"/>
      <c r="I75" s="100">
        <f t="shared" si="0"/>
        <v>27863.8</v>
      </c>
      <c r="J75" s="99">
        <f t="shared" si="1"/>
        <v>207.26892957888012</v>
      </c>
      <c r="K75" s="100">
        <f t="shared" si="7"/>
        <v>5775.3</v>
      </c>
      <c r="L75" s="101">
        <f t="shared" si="3"/>
        <v>81.081445279866344</v>
      </c>
      <c r="M75" s="101">
        <f t="shared" si="4"/>
        <v>81.081445279866344</v>
      </c>
      <c r="N75" s="99">
        <f t="shared" si="5"/>
        <v>81.081445279866344</v>
      </c>
      <c r="O75" s="82"/>
      <c r="P75" s="82"/>
      <c r="Q75" s="83"/>
    </row>
    <row r="76" spans="1:18" ht="13">
      <c r="A76" s="6">
        <v>41426</v>
      </c>
      <c r="B76" s="76">
        <v>26764.899999999998</v>
      </c>
      <c r="C76" s="38">
        <v>206.33333333333334</v>
      </c>
      <c r="D76" s="38">
        <v>5516</v>
      </c>
      <c r="E76" s="32">
        <v>11.267546918966165</v>
      </c>
      <c r="F76" s="32">
        <v>89.321045454545455</v>
      </c>
      <c r="G76" s="32"/>
      <c r="H76" s="31"/>
      <c r="I76" s="100">
        <f t="shared" si="0"/>
        <v>26764.899999999998</v>
      </c>
      <c r="J76" s="99">
        <f t="shared" si="1"/>
        <v>206.09081296773013</v>
      </c>
      <c r="K76" s="100">
        <f t="shared" si="7"/>
        <v>5516</v>
      </c>
      <c r="L76" s="101">
        <f t="shared" si="3"/>
        <v>89.321045454545455</v>
      </c>
      <c r="M76" s="101">
        <f t="shared" si="4"/>
        <v>89.321045454545455</v>
      </c>
      <c r="N76" s="99">
        <f t="shared" si="5"/>
        <v>89.321045454545455</v>
      </c>
      <c r="O76" s="73"/>
      <c r="P76" s="73"/>
      <c r="Q76" s="61" t="s">
        <v>92</v>
      </c>
    </row>
    <row r="77" spans="1:18" ht="13">
      <c r="A77" s="6">
        <v>41518</v>
      </c>
      <c r="B77" s="76">
        <v>27656.6</v>
      </c>
      <c r="C77" s="38">
        <v>203.66666666666666</v>
      </c>
      <c r="D77" s="38">
        <v>5621.6</v>
      </c>
      <c r="E77" s="32">
        <v>11.416458763421343</v>
      </c>
      <c r="F77" s="32">
        <v>95.247759170653907</v>
      </c>
      <c r="G77" s="32"/>
      <c r="H77" s="31"/>
      <c r="I77" s="100">
        <f t="shared" si="0"/>
        <v>27656.6</v>
      </c>
      <c r="J77" s="99">
        <f t="shared" si="1"/>
        <v>203.26432027074915</v>
      </c>
      <c r="K77" s="100">
        <f t="shared" ref="K77:K93" si="8">+D77</f>
        <v>5621.6</v>
      </c>
      <c r="L77" s="101">
        <f t="shared" si="3"/>
        <v>95.247759170653907</v>
      </c>
      <c r="M77" s="101">
        <f t="shared" si="4"/>
        <v>95.247759170653907</v>
      </c>
      <c r="N77" s="99">
        <f t="shared" si="5"/>
        <v>95.247759170653907</v>
      </c>
      <c r="O77" s="38">
        <f>AVERAGE(L75:L78)</f>
        <v>87.158092209690906</v>
      </c>
      <c r="P77" s="38">
        <f>AVERAGE(M75:M78)</f>
        <v>87.158092209690906</v>
      </c>
      <c r="Q77" s="83">
        <f>AVERAGE(O77:P77)</f>
        <v>87.158092209690906</v>
      </c>
    </row>
    <row r="78" spans="1:18" ht="13">
      <c r="A78" s="6">
        <v>41609</v>
      </c>
      <c r="B78" s="76">
        <v>29791.5</v>
      </c>
      <c r="C78" s="38">
        <v>211</v>
      </c>
      <c r="D78" s="38">
        <v>6274.2999999999993</v>
      </c>
      <c r="E78" s="32">
        <v>12.706018834039631</v>
      </c>
      <c r="F78" s="32">
        <v>82.98211893369789</v>
      </c>
      <c r="G78" s="32"/>
      <c r="H78" s="31"/>
      <c r="I78" s="100">
        <f t="shared" si="0"/>
        <v>29791.5</v>
      </c>
      <c r="J78" s="99">
        <f t="shared" si="1"/>
        <v>210.60705234714598</v>
      </c>
      <c r="K78" s="100">
        <f t="shared" si="8"/>
        <v>6274.2999999999993</v>
      </c>
      <c r="L78" s="101">
        <f t="shared" si="3"/>
        <v>82.98211893369789</v>
      </c>
      <c r="M78" s="101">
        <f t="shared" si="4"/>
        <v>82.98211893369789</v>
      </c>
      <c r="N78" s="99">
        <f t="shared" si="5"/>
        <v>82.98211893369789</v>
      </c>
      <c r="O78" s="82">
        <v>87</v>
      </c>
      <c r="P78" s="82">
        <v>87</v>
      </c>
      <c r="Q78" s="83">
        <f>AVERAGE(O78:P78)</f>
        <v>87</v>
      </c>
    </row>
    <row r="79" spans="1:18" ht="13">
      <c r="A79" s="6">
        <v>41699</v>
      </c>
      <c r="B79" s="76">
        <v>27131.4</v>
      </c>
      <c r="C79" s="38">
        <v>213.33333333333334</v>
      </c>
      <c r="D79" s="38">
        <v>5784.2999999999993</v>
      </c>
      <c r="E79" s="32">
        <v>11.211203698678407</v>
      </c>
      <c r="F79" s="32">
        <v>91.444912698412679</v>
      </c>
      <c r="G79" s="32"/>
      <c r="H79" s="31"/>
      <c r="I79" s="100">
        <f t="shared" si="0"/>
        <v>27131.4</v>
      </c>
      <c r="J79" s="99">
        <f t="shared" si="1"/>
        <v>213.19578053473091</v>
      </c>
      <c r="K79" s="100">
        <f t="shared" si="8"/>
        <v>5784.2999999999993</v>
      </c>
      <c r="L79" s="101">
        <f t="shared" si="3"/>
        <v>91.444912698412679</v>
      </c>
      <c r="M79" s="101">
        <f t="shared" si="4"/>
        <v>91.444912698412679</v>
      </c>
      <c r="N79" s="109">
        <f t="shared" si="5"/>
        <v>91.444912698412679</v>
      </c>
      <c r="O79" s="73"/>
      <c r="P79" s="73"/>
      <c r="Q79" s="61" t="s">
        <v>92</v>
      </c>
    </row>
    <row r="80" spans="1:18" ht="13">
      <c r="A80" s="6">
        <v>41791</v>
      </c>
      <c r="B80" s="76">
        <v>25574.7</v>
      </c>
      <c r="C80" s="38">
        <v>215.33333333333334</v>
      </c>
      <c r="D80" s="38">
        <v>5504.1</v>
      </c>
      <c r="E80" s="32">
        <v>10.821337355949623</v>
      </c>
      <c r="F80" s="32">
        <v>111.8366738816739</v>
      </c>
      <c r="G80" s="32"/>
      <c r="H80" s="31"/>
      <c r="I80" s="100">
        <f t="shared" si="0"/>
        <v>25574.7</v>
      </c>
      <c r="J80" s="99">
        <f t="shared" si="1"/>
        <v>215.21660078124083</v>
      </c>
      <c r="K80" s="100">
        <f t="shared" si="8"/>
        <v>5504.1</v>
      </c>
      <c r="L80" s="101">
        <f t="shared" si="3"/>
        <v>111.8366738816739</v>
      </c>
      <c r="M80" s="101">
        <f t="shared" si="4"/>
        <v>111.8366738816739</v>
      </c>
      <c r="N80" s="109">
        <f t="shared" si="5"/>
        <v>111.8366738816739</v>
      </c>
      <c r="O80" s="73"/>
      <c r="P80" s="73"/>
      <c r="Q80" s="61" t="s">
        <v>92</v>
      </c>
    </row>
    <row r="81" spans="1:17" ht="13">
      <c r="A81" s="6">
        <v>41883</v>
      </c>
      <c r="B81" s="76">
        <v>25558.2</v>
      </c>
      <c r="C81" s="38">
        <v>212.33333333333334</v>
      </c>
      <c r="D81" s="38">
        <v>5423.9</v>
      </c>
      <c r="E81" s="32">
        <v>11.006781262449113</v>
      </c>
      <c r="F81" s="32">
        <v>110.02707792207792</v>
      </c>
      <c r="G81" s="32"/>
      <c r="H81" s="31"/>
      <c r="I81" s="100">
        <f t="shared" si="0"/>
        <v>25558.2</v>
      </c>
      <c r="J81" s="99">
        <f t="shared" si="1"/>
        <v>212.21760530866803</v>
      </c>
      <c r="K81" s="100">
        <f t="shared" si="8"/>
        <v>5423.9</v>
      </c>
      <c r="L81" s="101">
        <f t="shared" si="3"/>
        <v>110.02707792207792</v>
      </c>
      <c r="M81" s="101">
        <f t="shared" si="4"/>
        <v>110.02707792207792</v>
      </c>
      <c r="N81" s="109">
        <f t="shared" si="5"/>
        <v>110.02707792207792</v>
      </c>
      <c r="O81" s="38">
        <f>AVERAGE(L79:L82)</f>
        <v>100.86009934792514</v>
      </c>
      <c r="P81" s="38">
        <f>AVERAGE(M79:M82)</f>
        <v>100.86009934792514</v>
      </c>
      <c r="Q81" s="83">
        <f>AVERAGE(O81:P81)</f>
        <v>100.86009934792514</v>
      </c>
    </row>
    <row r="82" spans="1:17" ht="13">
      <c r="A82" s="6">
        <v>41974</v>
      </c>
      <c r="B82" s="76">
        <v>28611.499999999996</v>
      </c>
      <c r="C82" s="38">
        <v>214.66666666666666</v>
      </c>
      <c r="D82" s="38">
        <v>6130.9000000000005</v>
      </c>
      <c r="E82" s="32">
        <v>12.830156007761975</v>
      </c>
      <c r="F82" s="32">
        <v>90.131732889536082</v>
      </c>
      <c r="G82" s="32"/>
      <c r="H82" s="31"/>
      <c r="I82" s="100">
        <f t="shared" si="0"/>
        <v>28611.499999999996</v>
      </c>
      <c r="J82" s="99">
        <f t="shared" si="1"/>
        <v>214.28097093825912</v>
      </c>
      <c r="K82" s="100">
        <f t="shared" si="8"/>
        <v>6130.9000000000005</v>
      </c>
      <c r="L82" s="101">
        <f t="shared" si="3"/>
        <v>90.131732889536082</v>
      </c>
      <c r="M82" s="101">
        <f t="shared" si="4"/>
        <v>90.131732889536082</v>
      </c>
      <c r="N82" s="109">
        <f t="shared" si="5"/>
        <v>90.131732889536082</v>
      </c>
      <c r="O82" s="82">
        <v>101</v>
      </c>
      <c r="P82" s="82">
        <v>101</v>
      </c>
      <c r="Q82" s="83">
        <f>AVERAGE(O82:P82)</f>
        <v>101</v>
      </c>
    </row>
    <row r="83" spans="1:17" ht="13">
      <c r="A83" s="108">
        <v>42064</v>
      </c>
      <c r="B83" s="76">
        <v>28723.5</v>
      </c>
      <c r="C83" s="38">
        <v>215</v>
      </c>
      <c r="D83" s="38">
        <v>6161.5</v>
      </c>
      <c r="E83" s="32">
        <v>12.225052480005788</v>
      </c>
      <c r="F83" s="32">
        <v>68.546582972582982</v>
      </c>
      <c r="I83" s="100">
        <f t="shared" si="0"/>
        <v>28723.5</v>
      </c>
      <c r="J83" s="99">
        <f t="shared" si="1"/>
        <v>214.51076644559333</v>
      </c>
      <c r="K83" s="100">
        <f t="shared" si="8"/>
        <v>6161.5</v>
      </c>
      <c r="L83" s="101">
        <f t="shared" si="3"/>
        <v>68.546582972582982</v>
      </c>
      <c r="M83" s="101">
        <f t="shared" si="4"/>
        <v>68.546582972582982</v>
      </c>
      <c r="N83" s="109">
        <f t="shared" si="5"/>
        <v>68.546582972582982</v>
      </c>
    </row>
    <row r="84" spans="1:17" ht="13">
      <c r="A84" s="6">
        <v>42156</v>
      </c>
      <c r="B84" s="76">
        <v>27849.699999999997</v>
      </c>
      <c r="C84" s="38">
        <v>213</v>
      </c>
      <c r="D84" s="38">
        <v>5924.7000000000007</v>
      </c>
      <c r="E84" s="32">
        <v>11.838633077483665</v>
      </c>
      <c r="F84" s="32">
        <v>73.519196969696978</v>
      </c>
      <c r="I84" s="100">
        <f t="shared" si="0"/>
        <v>27849.699999999997</v>
      </c>
      <c r="J84" s="99">
        <f t="shared" si="1"/>
        <v>212.73837779222043</v>
      </c>
      <c r="K84" s="100">
        <f t="shared" si="8"/>
        <v>5924.7000000000007</v>
      </c>
      <c r="L84" s="101">
        <f t="shared" si="3"/>
        <v>73.519196969696978</v>
      </c>
      <c r="M84" s="101">
        <f t="shared" si="4"/>
        <v>73.519196969696978</v>
      </c>
      <c r="N84" s="107">
        <f t="shared" ref="N84:N93" si="9">ROUND(AVERAGE(L84:M84),2)</f>
        <v>73.52</v>
      </c>
    </row>
    <row r="85" spans="1:17" ht="13">
      <c r="A85" s="6">
        <v>42248</v>
      </c>
      <c r="B85" s="76">
        <v>28477.199999999997</v>
      </c>
      <c r="C85" s="38">
        <v>209.66666666666666</v>
      </c>
      <c r="D85" s="38">
        <v>5957.9</v>
      </c>
      <c r="E85" s="32">
        <v>12.155700024131994</v>
      </c>
      <c r="F85" s="32">
        <v>74.604848484848489</v>
      </c>
      <c r="I85" s="100">
        <f t="shared" si="0"/>
        <v>28477.199999999997</v>
      </c>
      <c r="J85" s="99">
        <f t="shared" si="1"/>
        <v>209.21649600382062</v>
      </c>
      <c r="K85" s="100">
        <f t="shared" si="8"/>
        <v>5957.9</v>
      </c>
      <c r="L85" s="101">
        <f t="shared" si="3"/>
        <v>74.604848484848489</v>
      </c>
      <c r="M85" s="101">
        <f t="shared" si="4"/>
        <v>74.604848484848489</v>
      </c>
      <c r="N85" s="107">
        <f t="shared" si="9"/>
        <v>74.599999999999994</v>
      </c>
      <c r="O85" s="38">
        <f>ROUND(AVERAGE(L83:L86),2)</f>
        <v>69.650000000000006</v>
      </c>
      <c r="P85" s="38">
        <f>ROUND(AVERAGE(M83:M86),2)</f>
        <v>69.650000000000006</v>
      </c>
      <c r="Q85" s="83">
        <f>ROUND(AVERAGE(O85:P85),2)</f>
        <v>69.650000000000006</v>
      </c>
    </row>
    <row r="86" spans="1:17" ht="13">
      <c r="A86" s="6">
        <v>42339</v>
      </c>
      <c r="B86" s="76">
        <v>30374.9</v>
      </c>
      <c r="C86" s="38">
        <v>212.66666666666666</v>
      </c>
      <c r="D86" s="38">
        <v>6457.2</v>
      </c>
      <c r="E86" s="32">
        <v>13.568554588091327</v>
      </c>
      <c r="F86" s="32">
        <v>61.912621212121202</v>
      </c>
      <c r="I86" s="100">
        <f t="shared" si="0"/>
        <v>30374.9</v>
      </c>
      <c r="J86" s="99">
        <f t="shared" si="1"/>
        <v>212.58341591248038</v>
      </c>
      <c r="K86" s="100">
        <f t="shared" si="8"/>
        <v>6457.2</v>
      </c>
      <c r="L86" s="101">
        <f t="shared" si="3"/>
        <v>61.912621212121202</v>
      </c>
      <c r="M86" s="101">
        <f t="shared" si="4"/>
        <v>61.912621212121202</v>
      </c>
      <c r="N86" s="107">
        <f t="shared" si="9"/>
        <v>61.91</v>
      </c>
      <c r="O86" s="82">
        <v>70</v>
      </c>
      <c r="P86" s="82">
        <v>70</v>
      </c>
      <c r="Q86" s="83">
        <f>ROUND(AVERAGE(O86:P86),2)</f>
        <v>70</v>
      </c>
    </row>
    <row r="87" spans="1:17" ht="13">
      <c r="A87" s="108">
        <v>42430</v>
      </c>
      <c r="B87" s="76">
        <v>29262.3</v>
      </c>
      <c r="C87" s="38">
        <v>213</v>
      </c>
      <c r="D87" s="38">
        <v>6230.2999999999993</v>
      </c>
      <c r="E87" s="32">
        <v>12.598076318016966</v>
      </c>
      <c r="F87" s="32">
        <v>62.145377156659769</v>
      </c>
      <c r="I87" s="100">
        <f t="shared" ref="I87:I119" si="10">B87</f>
        <v>29262.3</v>
      </c>
      <c r="J87" s="109">
        <f t="shared" ref="J87:J126" si="11">K87/I87*1000</f>
        <v>212.91217710159486</v>
      </c>
      <c r="K87" s="100">
        <f t="shared" si="8"/>
        <v>6230.2999999999993</v>
      </c>
      <c r="L87" s="101">
        <f t="shared" ref="L87:L92" si="12">F87</f>
        <v>62.145377156659769</v>
      </c>
      <c r="M87" s="101">
        <f>L87</f>
        <v>62.145377156659769</v>
      </c>
      <c r="N87" s="107">
        <f t="shared" si="9"/>
        <v>62.15</v>
      </c>
    </row>
    <row r="88" spans="1:17" ht="13">
      <c r="A88" s="6">
        <v>42522</v>
      </c>
      <c r="B88" s="76">
        <v>28116</v>
      </c>
      <c r="C88" s="38">
        <v>212.66666666666666</v>
      </c>
      <c r="D88" s="38">
        <v>5962.7</v>
      </c>
      <c r="E88" s="32">
        <v>11.863812735244181</v>
      </c>
      <c r="F88" s="32">
        <v>73.37756854256854</v>
      </c>
      <c r="I88" s="100">
        <f t="shared" si="10"/>
        <v>28116</v>
      </c>
      <c r="J88" s="107">
        <f t="shared" si="11"/>
        <v>212.07497510314411</v>
      </c>
      <c r="K88" s="100">
        <f t="shared" si="8"/>
        <v>5962.7</v>
      </c>
      <c r="L88" s="101">
        <f t="shared" si="12"/>
        <v>73.37756854256854</v>
      </c>
      <c r="M88" s="101">
        <f>L88</f>
        <v>73.37756854256854</v>
      </c>
      <c r="N88" s="107">
        <f t="shared" si="9"/>
        <v>73.38</v>
      </c>
    </row>
    <row r="89" spans="1:17" ht="13">
      <c r="A89" s="6">
        <v>42614</v>
      </c>
      <c r="B89" s="76">
        <v>29322.9</v>
      </c>
      <c r="C89" s="38">
        <v>208.33333333333334</v>
      </c>
      <c r="D89" s="38">
        <v>6100.4</v>
      </c>
      <c r="E89" s="32">
        <v>12.151680285681834</v>
      </c>
      <c r="F89" s="32">
        <v>68.308681159420289</v>
      </c>
      <c r="I89" s="100">
        <f t="shared" si="10"/>
        <v>29322.9</v>
      </c>
      <c r="J89" s="107">
        <f t="shared" si="11"/>
        <v>208.04217863853847</v>
      </c>
      <c r="K89" s="100">
        <f t="shared" si="8"/>
        <v>6100.4</v>
      </c>
      <c r="L89" s="101">
        <f t="shared" si="12"/>
        <v>68.308681159420289</v>
      </c>
      <c r="M89" s="101">
        <f t="shared" ref="M89:M94" si="13">F89</f>
        <v>68.308681159420289</v>
      </c>
      <c r="N89" s="107">
        <f t="shared" si="9"/>
        <v>68.31</v>
      </c>
      <c r="O89" s="38">
        <f>ROUND(AVERAGE(L87:L90),2)</f>
        <v>64.239999999999995</v>
      </c>
      <c r="P89" s="38">
        <f>ROUND(AVERAGE(M87:M90),2)</f>
        <v>64.239999999999995</v>
      </c>
      <c r="Q89" s="83">
        <f>ROUND(AVERAGE(O89:P89),2)</f>
        <v>64.239999999999995</v>
      </c>
    </row>
    <row r="90" spans="1:17" ht="13">
      <c r="A90" s="6">
        <v>42705</v>
      </c>
      <c r="B90" s="76">
        <v>31538.699999999997</v>
      </c>
      <c r="C90" s="38">
        <v>211.33333333333334</v>
      </c>
      <c r="D90" s="38">
        <v>6647.7000000000007</v>
      </c>
      <c r="E90" s="32">
        <v>13.546756209717115</v>
      </c>
      <c r="F90" s="32">
        <v>53.14809523809523</v>
      </c>
      <c r="I90" s="100">
        <f t="shared" si="10"/>
        <v>31538.699999999997</v>
      </c>
      <c r="J90" s="107">
        <f t="shared" si="11"/>
        <v>210.77913801139556</v>
      </c>
      <c r="K90" s="100">
        <f t="shared" si="8"/>
        <v>6647.7000000000007</v>
      </c>
      <c r="L90" s="101">
        <f t="shared" si="12"/>
        <v>53.14809523809523</v>
      </c>
      <c r="M90" s="101">
        <f t="shared" si="13"/>
        <v>53.14809523809523</v>
      </c>
      <c r="N90" s="107">
        <f t="shared" si="9"/>
        <v>53.15</v>
      </c>
      <c r="O90" s="82">
        <v>64</v>
      </c>
      <c r="P90" s="82">
        <v>64</v>
      </c>
      <c r="Q90" s="83">
        <f>ROUND(AVERAGE(O90:P90),2)</f>
        <v>64</v>
      </c>
    </row>
    <row r="91" spans="1:17" ht="13">
      <c r="A91" s="108">
        <v>42795</v>
      </c>
      <c r="B91" s="76">
        <v>30177.8</v>
      </c>
      <c r="C91" s="38">
        <v>212.66666666666666</v>
      </c>
      <c r="D91" s="38">
        <v>6410</v>
      </c>
      <c r="E91" s="32">
        <v>12.376397191211989</v>
      </c>
      <c r="F91" s="32">
        <v>67.790636300897162</v>
      </c>
      <c r="I91" s="100">
        <f t="shared" si="10"/>
        <v>30177.8</v>
      </c>
      <c r="J91" s="107">
        <f t="shared" si="11"/>
        <v>212.40779645964915</v>
      </c>
      <c r="K91" s="100">
        <f t="shared" si="8"/>
        <v>6410</v>
      </c>
      <c r="L91" s="101">
        <f t="shared" si="12"/>
        <v>67.790636300897162</v>
      </c>
      <c r="M91" s="101">
        <f t="shared" si="13"/>
        <v>67.790636300897162</v>
      </c>
      <c r="N91" s="107">
        <f t="shared" si="9"/>
        <v>67.790000000000006</v>
      </c>
    </row>
    <row r="92" spans="1:17" ht="13">
      <c r="A92" s="6">
        <v>42887</v>
      </c>
      <c r="B92" s="76">
        <v>29165.100000000002</v>
      </c>
      <c r="C92" s="38">
        <v>210.66666666666666</v>
      </c>
      <c r="D92" s="38">
        <v>6137.3</v>
      </c>
      <c r="E92" s="32">
        <v>11.830624224156434</v>
      </c>
      <c r="F92" s="32">
        <v>71.12527272727273</v>
      </c>
      <c r="I92" s="100">
        <f t="shared" si="10"/>
        <v>29165.100000000002</v>
      </c>
      <c r="J92" s="107">
        <f t="shared" si="11"/>
        <v>210.4330175449424</v>
      </c>
      <c r="K92" s="100">
        <f t="shared" si="8"/>
        <v>6137.3</v>
      </c>
      <c r="L92" s="101">
        <f t="shared" si="12"/>
        <v>71.12527272727273</v>
      </c>
      <c r="M92" s="101">
        <f t="shared" si="13"/>
        <v>71.12527272727273</v>
      </c>
      <c r="N92" s="107">
        <f t="shared" si="9"/>
        <v>71.13</v>
      </c>
    </row>
    <row r="93" spans="1:17" ht="13">
      <c r="A93" s="6">
        <v>42979</v>
      </c>
      <c r="B93" s="76">
        <v>29967.199999999997</v>
      </c>
      <c r="C93" s="38">
        <v>208.66666666666666</v>
      </c>
      <c r="D93" s="38">
        <v>6240.3</v>
      </c>
      <c r="E93" s="32">
        <v>12.450682212857243</v>
      </c>
      <c r="F93" s="32">
        <v>75.721065217391299</v>
      </c>
      <c r="I93" s="100">
        <f t="shared" si="10"/>
        <v>29967.199999999997</v>
      </c>
      <c r="J93" s="107">
        <f t="shared" si="11"/>
        <v>208.2376731893537</v>
      </c>
      <c r="K93" s="100">
        <f t="shared" si="8"/>
        <v>6240.3</v>
      </c>
      <c r="L93" s="101">
        <f t="shared" ref="L93:L98" si="14">F93</f>
        <v>75.721065217391299</v>
      </c>
      <c r="M93" s="101">
        <f t="shared" si="13"/>
        <v>75.721065217391299</v>
      </c>
      <c r="N93" s="107">
        <f t="shared" si="9"/>
        <v>75.72</v>
      </c>
      <c r="O93" s="38">
        <f>ROUND(AVERAGE(L91:L94),2)</f>
        <v>69.42</v>
      </c>
      <c r="P93" s="38">
        <f>ROUND(AVERAGE(M91:M94),2)</f>
        <v>69.42</v>
      </c>
      <c r="Q93" s="83">
        <f>ROUND(AVERAGE(O93:P93),2)</f>
        <v>69.42</v>
      </c>
    </row>
    <row r="94" spans="1:17" ht="13">
      <c r="A94" s="6">
        <v>43070</v>
      </c>
      <c r="B94" s="76">
        <v>32007</v>
      </c>
      <c r="C94" s="38">
        <v>212.66666666666666</v>
      </c>
      <c r="D94" s="38">
        <v>6796.4</v>
      </c>
      <c r="E94" s="32">
        <v>13.533068120746417</v>
      </c>
      <c r="F94" s="32">
        <v>63.056851370851355</v>
      </c>
      <c r="I94" s="100">
        <f t="shared" si="10"/>
        <v>32007</v>
      </c>
      <c r="J94" s="107">
        <f t="shared" si="11"/>
        <v>212.34105039522603</v>
      </c>
      <c r="K94" s="100">
        <f t="shared" ref="K94:K100" si="15">+D94</f>
        <v>6796.4</v>
      </c>
      <c r="L94" s="101">
        <f t="shared" si="14"/>
        <v>63.056851370851355</v>
      </c>
      <c r="M94" s="101">
        <f t="shared" si="13"/>
        <v>63.056851370851355</v>
      </c>
      <c r="N94" s="107">
        <f t="shared" ref="N94:N103" si="16">ROUND(AVERAGE(L94:M94),2)</f>
        <v>63.06</v>
      </c>
      <c r="O94" s="82">
        <v>69</v>
      </c>
      <c r="P94" s="82">
        <v>70</v>
      </c>
      <c r="Q94" s="83">
        <f>ROUND(AVERAGE(O94:P94),2)</f>
        <v>69.5</v>
      </c>
    </row>
    <row r="95" spans="1:17" ht="13">
      <c r="A95" s="108">
        <v>43160</v>
      </c>
      <c r="B95" s="76">
        <v>31073.699999999997</v>
      </c>
      <c r="C95" s="38">
        <v>214</v>
      </c>
      <c r="D95" s="38">
        <v>6645</v>
      </c>
      <c r="E95" s="32">
        <v>12.574734333561345</v>
      </c>
      <c r="F95" s="32">
        <v>67.819636363636363</v>
      </c>
      <c r="I95" s="100">
        <f t="shared" si="10"/>
        <v>31073.699999999997</v>
      </c>
      <c r="J95" s="107">
        <f t="shared" si="11"/>
        <v>213.84643605364022</v>
      </c>
      <c r="K95" s="100">
        <f t="shared" si="15"/>
        <v>6645</v>
      </c>
      <c r="L95" s="101">
        <f t="shared" si="14"/>
        <v>67.819636363636363</v>
      </c>
      <c r="M95" s="101">
        <f t="shared" ref="M95:M100" si="17">F95</f>
        <v>67.819636363636363</v>
      </c>
      <c r="N95" s="107">
        <f t="shared" si="16"/>
        <v>67.819999999999993</v>
      </c>
    </row>
    <row r="96" spans="1:17" ht="13">
      <c r="A96" s="6">
        <v>43252</v>
      </c>
      <c r="B96" s="76">
        <v>29817.699999999997</v>
      </c>
      <c r="C96" s="38">
        <v>212.33333333333334</v>
      </c>
      <c r="D96" s="38">
        <v>6324.9</v>
      </c>
      <c r="E96" s="32">
        <v>12.185270907976294</v>
      </c>
      <c r="F96" s="32">
        <v>67.824011544011526</v>
      </c>
      <c r="I96" s="100">
        <f t="shared" si="10"/>
        <v>29817.699999999997</v>
      </c>
      <c r="J96" s="107">
        <f t="shared" si="11"/>
        <v>212.11897631272703</v>
      </c>
      <c r="K96" s="100">
        <f t="shared" si="15"/>
        <v>6324.9</v>
      </c>
      <c r="L96" s="101">
        <f t="shared" si="14"/>
        <v>67.824011544011526</v>
      </c>
      <c r="M96" s="101">
        <f t="shared" si="17"/>
        <v>67.824011544011526</v>
      </c>
      <c r="N96" s="107">
        <f t="shared" si="16"/>
        <v>67.819999999999993</v>
      </c>
    </row>
    <row r="97" spans="1:21" ht="13">
      <c r="A97" s="6">
        <v>43344</v>
      </c>
      <c r="B97" s="76">
        <v>30398.800000000003</v>
      </c>
      <c r="C97" s="38">
        <v>208</v>
      </c>
      <c r="D97" s="38">
        <v>6314.7000000000007</v>
      </c>
      <c r="E97" s="32">
        <v>12.419490543136995</v>
      </c>
      <c r="F97" s="32">
        <v>62.915376847916889</v>
      </c>
      <c r="I97" s="100">
        <f t="shared" si="10"/>
        <v>30398.800000000003</v>
      </c>
      <c r="J97" s="107">
        <f t="shared" si="11"/>
        <v>207.72859454978487</v>
      </c>
      <c r="K97" s="100">
        <f t="shared" si="15"/>
        <v>6314.7000000000007</v>
      </c>
      <c r="L97" s="101">
        <f t="shared" si="14"/>
        <v>62.915376847916889</v>
      </c>
      <c r="M97" s="101">
        <f t="shared" si="17"/>
        <v>62.915376847916889</v>
      </c>
      <c r="N97" s="107">
        <f t="shared" si="16"/>
        <v>62.92</v>
      </c>
      <c r="O97" s="38">
        <f>ROUND(AVERAGE(L95:L98),2)</f>
        <v>64.680000000000007</v>
      </c>
      <c r="P97" s="38">
        <f>ROUND(AVERAGE(M95:M98),2)</f>
        <v>64.680000000000007</v>
      </c>
      <c r="Q97" s="83">
        <f>ROUND(AVERAGE(O97:P97),2)</f>
        <v>64.680000000000007</v>
      </c>
    </row>
    <row r="98" spans="1:21" ht="13">
      <c r="A98" s="6">
        <v>43435</v>
      </c>
      <c r="B98" s="76">
        <v>33145.199999999997</v>
      </c>
      <c r="C98" s="38">
        <v>212.66666666666666</v>
      </c>
      <c r="D98" s="38">
        <v>7030.6</v>
      </c>
      <c r="E98" s="32">
        <v>13.827268964395438</v>
      </c>
      <c r="F98" s="32">
        <v>60.142156841378814</v>
      </c>
      <c r="I98" s="100">
        <f t="shared" si="10"/>
        <v>33145.199999999997</v>
      </c>
      <c r="J98" s="107">
        <f t="shared" si="11"/>
        <v>212.11517806499887</v>
      </c>
      <c r="K98" s="100">
        <f t="shared" si="15"/>
        <v>7030.6</v>
      </c>
      <c r="L98" s="101">
        <f t="shared" si="14"/>
        <v>60.142156841378814</v>
      </c>
      <c r="M98" s="101">
        <f t="shared" si="17"/>
        <v>60.142156841378814</v>
      </c>
      <c r="N98" s="107">
        <f t="shared" si="16"/>
        <v>60.14</v>
      </c>
      <c r="O98" s="82">
        <v>64</v>
      </c>
      <c r="P98" s="82">
        <v>65</v>
      </c>
      <c r="Q98" s="83">
        <f>ROUND(AVERAGE(O98:P98),2)</f>
        <v>64.5</v>
      </c>
    </row>
    <row r="99" spans="1:21" ht="13">
      <c r="A99" s="108">
        <v>43525</v>
      </c>
      <c r="B99" s="76">
        <v>31869.5</v>
      </c>
      <c r="C99" s="38">
        <v>214.66666666666666</v>
      </c>
      <c r="D99" s="38">
        <v>6817</v>
      </c>
      <c r="E99" s="32">
        <v>13.058952055355434</v>
      </c>
      <c r="F99" s="32">
        <v>58.31005555555555</v>
      </c>
      <c r="I99" s="100">
        <f t="shared" si="10"/>
        <v>31869.5</v>
      </c>
      <c r="J99" s="107">
        <f t="shared" si="11"/>
        <v>213.90357551891307</v>
      </c>
      <c r="K99" s="111">
        <f t="shared" si="15"/>
        <v>6817</v>
      </c>
      <c r="L99" s="101">
        <f t="shared" ref="L99:L104" si="18">F99</f>
        <v>58.31005555555555</v>
      </c>
      <c r="M99" s="101">
        <f t="shared" si="17"/>
        <v>58.31005555555555</v>
      </c>
      <c r="N99" s="107">
        <f t="shared" si="16"/>
        <v>58.31</v>
      </c>
    </row>
    <row r="100" spans="1:21" ht="13">
      <c r="A100" s="6">
        <v>43617</v>
      </c>
      <c r="B100" s="76">
        <v>30927.1</v>
      </c>
      <c r="C100" s="38">
        <v>214.33333333333334</v>
      </c>
      <c r="D100" s="38">
        <v>6615.4000000000005</v>
      </c>
      <c r="E100" s="32">
        <v>12.507746282659346</v>
      </c>
      <c r="F100" s="32">
        <v>78.757469696969679</v>
      </c>
      <c r="I100" s="100">
        <f t="shared" si="10"/>
        <v>30927.1</v>
      </c>
      <c r="J100" s="107">
        <f t="shared" si="11"/>
        <v>213.90301709503964</v>
      </c>
      <c r="K100" s="111">
        <f t="shared" si="15"/>
        <v>6615.4000000000005</v>
      </c>
      <c r="L100" s="101">
        <f t="shared" si="18"/>
        <v>78.757469696969679</v>
      </c>
      <c r="M100" s="101">
        <f t="shared" si="17"/>
        <v>78.757469696969679</v>
      </c>
      <c r="N100" s="107">
        <f t="shared" si="16"/>
        <v>78.760000000000005</v>
      </c>
    </row>
    <row r="101" spans="1:21" ht="13">
      <c r="A101" s="6">
        <v>43709</v>
      </c>
      <c r="B101" s="76">
        <v>32088.400000000001</v>
      </c>
      <c r="C101" s="38">
        <v>209</v>
      </c>
      <c r="D101" s="38">
        <v>6705.8000000000011</v>
      </c>
      <c r="E101" s="32">
        <v>12.874435951646024</v>
      </c>
      <c r="F101" s="32">
        <v>70.545333333333332</v>
      </c>
      <c r="I101" s="100">
        <f t="shared" si="10"/>
        <v>32088.400000000001</v>
      </c>
      <c r="J101" s="107">
        <f t="shared" si="11"/>
        <v>208.97894566260709</v>
      </c>
      <c r="K101" s="111">
        <f t="shared" ref="K101:K119" si="19">+D101</f>
        <v>6705.8000000000011</v>
      </c>
      <c r="L101" s="101">
        <f t="shared" si="18"/>
        <v>70.545333333333332</v>
      </c>
      <c r="M101" s="101">
        <f t="shared" ref="M101:M106" si="20">F101</f>
        <v>70.545333333333332</v>
      </c>
      <c r="N101" s="107">
        <f t="shared" si="16"/>
        <v>70.55</v>
      </c>
      <c r="O101" s="38">
        <f>ROUND(AVERAGE(L99:L102),2)</f>
        <v>67.44</v>
      </c>
      <c r="P101" s="38">
        <f>ROUND(AVERAGE(M99:M102),2)</f>
        <v>67.44</v>
      </c>
      <c r="Q101" s="83">
        <f>ROUND(AVERAGE(O101:P101),2)</f>
        <v>67.44</v>
      </c>
    </row>
    <row r="102" spans="1:21" ht="13">
      <c r="A102" s="6">
        <v>43800</v>
      </c>
      <c r="B102" s="112">
        <v>35028</v>
      </c>
      <c r="C102" s="38">
        <v>214</v>
      </c>
      <c r="D102" s="38">
        <v>7478.1</v>
      </c>
      <c r="E102" s="32">
        <v>13.920968739894438</v>
      </c>
      <c r="F102" s="32">
        <v>62.165043478260863</v>
      </c>
      <c r="I102" s="100">
        <f t="shared" si="10"/>
        <v>35028</v>
      </c>
      <c r="J102" s="107">
        <f t="shared" si="11"/>
        <v>213.48920863309354</v>
      </c>
      <c r="K102" s="111">
        <f t="shared" si="19"/>
        <v>7478.1</v>
      </c>
      <c r="L102" s="101">
        <f t="shared" si="18"/>
        <v>62.165043478260863</v>
      </c>
      <c r="M102" s="101">
        <f t="shared" si="20"/>
        <v>62.165043478260863</v>
      </c>
      <c r="N102" s="107">
        <f t="shared" si="16"/>
        <v>62.17</v>
      </c>
      <c r="O102" s="82">
        <v>67</v>
      </c>
      <c r="P102" s="82">
        <v>67</v>
      </c>
      <c r="Q102" s="83">
        <f>ROUND(AVERAGE(O102:P102),2)</f>
        <v>67</v>
      </c>
      <c r="S102" s="112"/>
      <c r="T102" s="112"/>
    </row>
    <row r="103" spans="1:21" ht="13">
      <c r="A103" s="108">
        <v>43891</v>
      </c>
      <c r="B103" s="76">
        <v>34478.699999999997</v>
      </c>
      <c r="C103" s="38">
        <v>215.33333333333334</v>
      </c>
      <c r="D103" s="38">
        <v>7426.2000000000007</v>
      </c>
      <c r="E103" s="32">
        <v>13.158901380307777</v>
      </c>
      <c r="F103" s="32">
        <v>61.292545454545454</v>
      </c>
      <c r="I103" s="100">
        <f t="shared" si="10"/>
        <v>34478.699999999997</v>
      </c>
      <c r="J103" s="107">
        <f t="shared" si="11"/>
        <v>215.38515083225298</v>
      </c>
      <c r="K103" s="111">
        <f t="shared" si="19"/>
        <v>7426.2000000000007</v>
      </c>
      <c r="L103" s="101">
        <f t="shared" si="18"/>
        <v>61.292545454545454</v>
      </c>
      <c r="M103" s="101">
        <f t="shared" si="20"/>
        <v>61.292545454545454</v>
      </c>
      <c r="N103" s="107">
        <f t="shared" si="16"/>
        <v>61.29</v>
      </c>
      <c r="S103" s="112"/>
      <c r="T103" s="112"/>
    </row>
    <row r="104" spans="1:21" ht="13">
      <c r="A104" s="6">
        <v>43983</v>
      </c>
      <c r="B104" s="76">
        <v>29198.400000000001</v>
      </c>
      <c r="C104" s="38">
        <v>216.66666666666666</v>
      </c>
      <c r="D104" s="38">
        <v>6313.4</v>
      </c>
      <c r="E104" s="32">
        <v>11.569452543732719</v>
      </c>
      <c r="F104" s="32">
        <v>58.793196969696972</v>
      </c>
      <c r="I104" s="100">
        <f t="shared" si="10"/>
        <v>29198.400000000001</v>
      </c>
      <c r="J104" s="107">
        <f t="shared" si="11"/>
        <v>216.22417666721461</v>
      </c>
      <c r="K104" s="111">
        <f t="shared" si="19"/>
        <v>6313.4</v>
      </c>
      <c r="L104" s="101">
        <f t="shared" si="18"/>
        <v>58.793196969696972</v>
      </c>
      <c r="M104" s="101">
        <f t="shared" si="20"/>
        <v>58.793196969696972</v>
      </c>
      <c r="N104" s="107">
        <f>ROUND(AVERAGE(L104:M104),2)</f>
        <v>58.79</v>
      </c>
      <c r="S104" s="112"/>
      <c r="T104" s="112"/>
    </row>
    <row r="105" spans="1:21" ht="13">
      <c r="A105" s="6">
        <v>44075</v>
      </c>
      <c r="B105" s="76">
        <v>33373.699999999997</v>
      </c>
      <c r="C105" s="38">
        <v>211.33333333333334</v>
      </c>
      <c r="D105" s="38">
        <v>7048.4</v>
      </c>
      <c r="E105" s="32">
        <v>13.231440854072821</v>
      </c>
      <c r="F105" s="32">
        <v>57.874617604617605</v>
      </c>
      <c r="I105" s="100">
        <f t="shared" si="10"/>
        <v>33373.699999999997</v>
      </c>
      <c r="J105" s="107">
        <f t="shared" si="11"/>
        <v>211.19624135172307</v>
      </c>
      <c r="K105" s="111">
        <f t="shared" si="19"/>
        <v>7048.4</v>
      </c>
      <c r="L105" s="101">
        <f t="shared" ref="L105:L111" si="21">F105</f>
        <v>57.874617604617605</v>
      </c>
      <c r="M105" s="101">
        <f t="shared" si="20"/>
        <v>57.874617604617605</v>
      </c>
      <c r="N105" s="107">
        <f t="shared" ref="N105:N118" si="22">ROUND(AVERAGE(L105:M105),2)</f>
        <v>57.87</v>
      </c>
      <c r="O105" s="38">
        <f>ROUND(AVERAGE(L103:L106),2)</f>
        <v>61.63</v>
      </c>
      <c r="P105" s="38">
        <f>ROUND(AVERAGE(M103:M106),2)</f>
        <v>61.63</v>
      </c>
      <c r="Q105" s="83">
        <f>ROUND(AVERAGE(O105:P105),2)</f>
        <v>61.63</v>
      </c>
      <c r="S105" s="112"/>
      <c r="T105" s="112"/>
    </row>
    <row r="106" spans="1:21" ht="13">
      <c r="A106" s="6">
        <v>44166</v>
      </c>
      <c r="B106" s="76">
        <v>34512.1</v>
      </c>
      <c r="C106" s="38">
        <v>218</v>
      </c>
      <c r="D106" s="38">
        <v>7515.1999999999989</v>
      </c>
      <c r="E106" s="32">
        <v>13.975118200584408</v>
      </c>
      <c r="F106" s="32">
        <v>68.565095959595979</v>
      </c>
      <c r="I106" s="100">
        <f t="shared" si="10"/>
        <v>34512.1</v>
      </c>
      <c r="J106" s="107">
        <f t="shared" si="11"/>
        <v>217.75551183497959</v>
      </c>
      <c r="K106" s="111">
        <f t="shared" si="19"/>
        <v>7515.1999999999989</v>
      </c>
      <c r="L106" s="101">
        <f t="shared" si="21"/>
        <v>68.565095959595979</v>
      </c>
      <c r="M106" s="101">
        <f t="shared" si="20"/>
        <v>68.565095959595979</v>
      </c>
      <c r="N106" s="107">
        <f t="shared" si="22"/>
        <v>68.569999999999993</v>
      </c>
      <c r="O106" s="82">
        <v>61</v>
      </c>
      <c r="P106" s="82">
        <v>63</v>
      </c>
      <c r="Q106" s="83">
        <f>ROUND(AVERAGE(O106:P106),2)</f>
        <v>62</v>
      </c>
      <c r="S106" s="112"/>
      <c r="T106" s="112"/>
      <c r="U106" s="112"/>
    </row>
    <row r="107" spans="1:21" ht="13">
      <c r="A107" s="108">
        <v>44256</v>
      </c>
      <c r="B107" s="76">
        <v>33421</v>
      </c>
      <c r="C107" s="38">
        <v>218</v>
      </c>
      <c r="D107" s="38">
        <v>7291.7001953125</v>
      </c>
      <c r="E107" s="32">
        <v>13.072507190949297</v>
      </c>
      <c r="F107" s="32">
        <v>75.794028985507239</v>
      </c>
      <c r="I107" s="100">
        <f t="shared" si="10"/>
        <v>33421</v>
      </c>
      <c r="J107" s="107">
        <f t="shared" si="11"/>
        <v>218.17719982383829</v>
      </c>
      <c r="K107" s="111">
        <f t="shared" si="19"/>
        <v>7291.7001953125</v>
      </c>
      <c r="L107" s="101">
        <f t="shared" si="21"/>
        <v>75.794028985507239</v>
      </c>
      <c r="M107" s="101">
        <f t="shared" ref="M107:M112" si="23">F107</f>
        <v>75.794028985507239</v>
      </c>
      <c r="N107" s="107">
        <f t="shared" si="22"/>
        <v>75.790000000000006</v>
      </c>
      <c r="S107" s="112"/>
      <c r="T107" s="112"/>
    </row>
    <row r="108" spans="1:21" ht="13">
      <c r="A108" s="6">
        <v>44348</v>
      </c>
      <c r="B108" s="76">
        <v>31120.30078125</v>
      </c>
      <c r="C108" s="38">
        <v>214.66666666666666</v>
      </c>
      <c r="D108" s="38">
        <v>6668.099853515625</v>
      </c>
      <c r="E108" s="32">
        <v>11.751795727099246</v>
      </c>
      <c r="F108" s="32">
        <v>104.84177272727271</v>
      </c>
      <c r="I108" s="100">
        <f t="shared" si="10"/>
        <v>31120.30078125</v>
      </c>
      <c r="J108" s="107">
        <f t="shared" si="11"/>
        <v>214.26848989625316</v>
      </c>
      <c r="K108" s="111">
        <f t="shared" si="19"/>
        <v>6668.099853515625</v>
      </c>
      <c r="L108" s="101">
        <f t="shared" si="21"/>
        <v>104.84177272727271</v>
      </c>
      <c r="M108" s="101">
        <f t="shared" si="23"/>
        <v>104.84177272727271</v>
      </c>
      <c r="N108" s="107">
        <f t="shared" si="22"/>
        <v>104.84</v>
      </c>
      <c r="S108" s="112"/>
      <c r="T108" s="112"/>
    </row>
    <row r="109" spans="1:21" ht="13">
      <c r="A109" s="6">
        <v>44440</v>
      </c>
      <c r="B109" s="112">
        <v>31166.7001953125</v>
      </c>
      <c r="C109" s="38">
        <v>210</v>
      </c>
      <c r="D109" s="38">
        <v>6530</v>
      </c>
      <c r="E109" s="32">
        <v>12.248778126717983</v>
      </c>
      <c r="F109" s="32">
        <v>99.679567099567109</v>
      </c>
      <c r="I109" s="100">
        <f t="shared" si="10"/>
        <v>31166.7001953125</v>
      </c>
      <c r="J109" s="107">
        <f t="shared" si="11"/>
        <v>209.51849118060045</v>
      </c>
      <c r="K109" s="111">
        <f t="shared" si="19"/>
        <v>6530</v>
      </c>
      <c r="L109" s="101">
        <f t="shared" si="21"/>
        <v>99.679567099567109</v>
      </c>
      <c r="M109" s="101">
        <f t="shared" si="23"/>
        <v>99.679567099567109</v>
      </c>
      <c r="N109" s="107">
        <f t="shared" si="22"/>
        <v>99.68</v>
      </c>
      <c r="O109" s="38">
        <f>ROUND(AVERAGE(L107:L110),2)</f>
        <v>89.51</v>
      </c>
      <c r="P109" s="38">
        <f>ROUND(AVERAGE(M107:M110),2)</f>
        <v>89.51</v>
      </c>
      <c r="Q109" s="83">
        <f>ROUND(AVERAGE(O109:P109),2)</f>
        <v>89.51</v>
      </c>
      <c r="S109" s="112"/>
      <c r="T109" s="112"/>
    </row>
    <row r="110" spans="1:21" ht="13">
      <c r="A110" s="6">
        <v>44531</v>
      </c>
      <c r="B110" s="112">
        <v>33277.900390625</v>
      </c>
      <c r="C110" s="38">
        <v>216</v>
      </c>
      <c r="D110" s="38">
        <v>7184.900146484375</v>
      </c>
      <c r="E110" s="32">
        <v>13.934776538190041</v>
      </c>
      <c r="F110" s="32">
        <v>77.733333333333334</v>
      </c>
      <c r="I110" s="100">
        <f t="shared" si="10"/>
        <v>33277.900390625</v>
      </c>
      <c r="J110" s="107">
        <f t="shared" si="11"/>
        <v>215.90605363157147</v>
      </c>
      <c r="K110" s="111">
        <f t="shared" si="19"/>
        <v>7184.900146484375</v>
      </c>
      <c r="L110" s="101">
        <f t="shared" si="21"/>
        <v>77.733333333333334</v>
      </c>
      <c r="M110" s="101">
        <f t="shared" si="23"/>
        <v>77.733333333333334</v>
      </c>
      <c r="N110" s="107">
        <f t="shared" si="22"/>
        <v>77.73</v>
      </c>
      <c r="O110" s="82">
        <v>90</v>
      </c>
      <c r="P110" s="82">
        <v>90</v>
      </c>
      <c r="Q110" s="83">
        <f>ROUND(AVERAGE(O110:P110),2)</f>
        <v>90</v>
      </c>
      <c r="S110" s="112"/>
      <c r="T110" s="112"/>
      <c r="U110" s="112"/>
    </row>
    <row r="111" spans="1:21" ht="13">
      <c r="A111" s="6">
        <v>44621</v>
      </c>
      <c r="B111" s="112">
        <v>31603.7001953125</v>
      </c>
      <c r="C111" s="38">
        <v>218.33333333333334</v>
      </c>
      <c r="D111" s="38">
        <v>6904.500244140625</v>
      </c>
      <c r="E111" s="32">
        <v>13.108837543274703</v>
      </c>
      <c r="F111" s="32">
        <v>88.741680814354709</v>
      </c>
      <c r="I111" s="100">
        <f t="shared" si="10"/>
        <v>31603.7001953125</v>
      </c>
      <c r="J111" s="107">
        <f t="shared" si="11"/>
        <v>218.47126132289753</v>
      </c>
      <c r="K111" s="111">
        <f t="shared" si="19"/>
        <v>6904.500244140625</v>
      </c>
      <c r="L111" s="101">
        <f t="shared" si="21"/>
        <v>88.741680814354709</v>
      </c>
      <c r="M111" s="101">
        <f t="shared" si="23"/>
        <v>88.741680814354709</v>
      </c>
      <c r="N111" s="107">
        <f t="shared" si="22"/>
        <v>88.74</v>
      </c>
      <c r="S111" s="112"/>
    </row>
    <row r="112" spans="1:21" ht="13">
      <c r="A112" s="6">
        <v>44713</v>
      </c>
      <c r="B112" s="112">
        <v>30618.6005859375</v>
      </c>
      <c r="C112" s="38">
        <v>217.33333333333334</v>
      </c>
      <c r="D112" s="38">
        <v>6638.500244140625</v>
      </c>
      <c r="E112" s="32">
        <v>12.373351564292228</v>
      </c>
      <c r="F112" s="32">
        <v>101.09806637806639</v>
      </c>
      <c r="I112" s="100">
        <f t="shared" si="10"/>
        <v>30618.6005859375</v>
      </c>
      <c r="J112" s="107">
        <f t="shared" si="11"/>
        <v>216.81266018374313</v>
      </c>
      <c r="K112" s="111">
        <f t="shared" si="19"/>
        <v>6638.500244140625</v>
      </c>
      <c r="L112" s="101">
        <f t="shared" ref="L112:L118" si="24">F112</f>
        <v>101.09806637806639</v>
      </c>
      <c r="M112" s="101">
        <f t="shared" si="23"/>
        <v>101.09806637806639</v>
      </c>
      <c r="N112" s="107">
        <f t="shared" si="22"/>
        <v>101.1</v>
      </c>
      <c r="S112" s="112"/>
    </row>
    <row r="113" spans="1:19" ht="13">
      <c r="A113" s="6">
        <v>44805</v>
      </c>
      <c r="B113" s="112">
        <v>30966.8994140625</v>
      </c>
      <c r="C113" s="38">
        <v>211.33333333333334</v>
      </c>
      <c r="D113" s="38">
        <v>6533.7999267578125</v>
      </c>
      <c r="E113" s="32">
        <v>12.363192234393832</v>
      </c>
      <c r="F113" s="32">
        <v>106.34055314009662</v>
      </c>
      <c r="I113" s="100">
        <f t="shared" si="10"/>
        <v>30966.8994140625</v>
      </c>
      <c r="J113" s="107">
        <f t="shared" si="11"/>
        <v>210.99302966672613</v>
      </c>
      <c r="K113" s="111">
        <f t="shared" si="19"/>
        <v>6533.7999267578125</v>
      </c>
      <c r="L113" s="101">
        <f t="shared" si="24"/>
        <v>106.34055314009662</v>
      </c>
      <c r="M113" s="101">
        <f t="shared" ref="M113:M118" si="25">F113</f>
        <v>106.34055314009662</v>
      </c>
      <c r="N113" s="107">
        <f t="shared" si="22"/>
        <v>106.34</v>
      </c>
      <c r="O113" s="38">
        <f>ROUND(AVERAGE(L111:L114),2)</f>
        <v>95.8</v>
      </c>
      <c r="P113" s="38">
        <f>ROUND(AVERAGE(M111:M114),2)</f>
        <v>95.8</v>
      </c>
      <c r="Q113" s="83">
        <f>ROUND(AVERAGE(O113:P113),2)</f>
        <v>95.8</v>
      </c>
      <c r="S113" s="112"/>
    </row>
    <row r="114" spans="1:19" ht="13">
      <c r="A114" s="6">
        <v>44896</v>
      </c>
      <c r="B114" s="112">
        <v>32132.400390625</v>
      </c>
      <c r="C114" s="38">
        <v>215.66666666666666</v>
      </c>
      <c r="D114" s="38">
        <v>6918.800048828125</v>
      </c>
      <c r="E114" s="32">
        <v>13.028037096456821</v>
      </c>
      <c r="F114" s="32">
        <v>87.023809523809518</v>
      </c>
      <c r="I114" s="100">
        <f t="shared" si="10"/>
        <v>32132.400390625</v>
      </c>
      <c r="J114" s="107">
        <f t="shared" si="11"/>
        <v>215.32160575363568</v>
      </c>
      <c r="K114" s="111">
        <f t="shared" si="19"/>
        <v>6918.800048828125</v>
      </c>
      <c r="L114" s="101">
        <f t="shared" si="24"/>
        <v>87.023809523809518</v>
      </c>
      <c r="M114" s="101">
        <f t="shared" si="25"/>
        <v>87.023809523809518</v>
      </c>
      <c r="N114" s="107">
        <f t="shared" si="22"/>
        <v>87.02</v>
      </c>
      <c r="O114" s="82">
        <v>96</v>
      </c>
      <c r="P114" s="82">
        <v>96</v>
      </c>
      <c r="Q114" s="83">
        <f>ROUND(AVERAGE(O114:P114),2)</f>
        <v>96</v>
      </c>
      <c r="S114" s="112"/>
    </row>
    <row r="115" spans="1:19" ht="13">
      <c r="A115" s="6">
        <v>44986</v>
      </c>
      <c r="B115" s="112">
        <v>32571.30078125</v>
      </c>
      <c r="C115" s="38">
        <v>217</v>
      </c>
      <c r="D115" s="38">
        <v>7071.39990234375</v>
      </c>
      <c r="E115" s="32">
        <v>12.94725471658556</v>
      </c>
      <c r="F115" s="32">
        <v>78.074018633540376</v>
      </c>
      <c r="I115" s="100">
        <f t="shared" si="10"/>
        <v>32571.30078125</v>
      </c>
      <c r="J115" s="107">
        <f t="shared" si="11"/>
        <v>217.10523475361086</v>
      </c>
      <c r="K115" s="111">
        <f t="shared" si="19"/>
        <v>7071.39990234375</v>
      </c>
      <c r="L115" s="101">
        <f t="shared" si="24"/>
        <v>78.074018633540376</v>
      </c>
      <c r="M115" s="101">
        <f t="shared" si="25"/>
        <v>78.074018633540376</v>
      </c>
      <c r="N115" s="107">
        <f t="shared" si="22"/>
        <v>78.069999999999993</v>
      </c>
    </row>
    <row r="116" spans="1:19" ht="13">
      <c r="A116" s="6">
        <v>45078</v>
      </c>
      <c r="B116" s="112">
        <v>30782.1005859375</v>
      </c>
      <c r="C116" s="38">
        <v>214.33333333333334</v>
      </c>
      <c r="D116" s="38">
        <v>6593.2001953125</v>
      </c>
      <c r="E116" s="32">
        <v>11.828528682120359</v>
      </c>
      <c r="F116" s="32">
        <v>80.192348484848495</v>
      </c>
      <c r="I116" s="100">
        <f t="shared" si="10"/>
        <v>30782.1005859375</v>
      </c>
      <c r="J116" s="107">
        <f t="shared" si="11"/>
        <v>214.18941754496566</v>
      </c>
      <c r="K116" s="111">
        <f t="shared" si="19"/>
        <v>6593.2001953125</v>
      </c>
      <c r="L116" s="101">
        <f t="shared" si="24"/>
        <v>80.192348484848495</v>
      </c>
      <c r="M116" s="101">
        <f t="shared" si="25"/>
        <v>80.192348484848495</v>
      </c>
      <c r="N116" s="107">
        <f t="shared" si="22"/>
        <v>80.19</v>
      </c>
    </row>
    <row r="117" spans="1:19" ht="13">
      <c r="A117" s="6">
        <v>45170</v>
      </c>
      <c r="B117" s="112">
        <v>31230.0009765625</v>
      </c>
      <c r="C117" s="38">
        <v>208</v>
      </c>
      <c r="D117" s="38">
        <v>6489.699951171875</v>
      </c>
      <c r="E117" s="32">
        <v>12.090575322806224</v>
      </c>
      <c r="F117" s="32">
        <v>93.69516666666668</v>
      </c>
      <c r="I117" s="100">
        <f t="shared" si="10"/>
        <v>31230.0009765625</v>
      </c>
      <c r="J117" s="107">
        <f t="shared" si="11"/>
        <v>207.80338611075507</v>
      </c>
      <c r="K117" s="111">
        <f t="shared" si="19"/>
        <v>6489.699951171875</v>
      </c>
      <c r="L117" s="101">
        <f t="shared" si="24"/>
        <v>93.69516666666668</v>
      </c>
      <c r="M117" s="101">
        <f t="shared" si="25"/>
        <v>93.69516666666668</v>
      </c>
      <c r="N117" s="107">
        <f t="shared" si="22"/>
        <v>93.7</v>
      </c>
      <c r="O117" s="38">
        <f>ROUND(AVERAGE(L115:L118),2)</f>
        <v>81.599999999999994</v>
      </c>
      <c r="P117" s="38">
        <f>ROUND(AVERAGE(M115:M118),2)</f>
        <v>81.599999999999994</v>
      </c>
      <c r="Q117" s="83">
        <f>ROUND(AVERAGE(O117:P117),2)</f>
        <v>81.599999999999994</v>
      </c>
    </row>
    <row r="118" spans="1:19" ht="13">
      <c r="A118" s="6">
        <v>45261</v>
      </c>
      <c r="B118" s="112">
        <v>33387.400390625</v>
      </c>
      <c r="C118" s="38">
        <v>214.66666666666666</v>
      </c>
      <c r="D118" s="38">
        <v>7148.10009765625</v>
      </c>
      <c r="E118" s="32">
        <v>13.042332911244975</v>
      </c>
      <c r="F118" s="32">
        <v>74.430550505050505</v>
      </c>
      <c r="I118" s="100">
        <f t="shared" si="10"/>
        <v>33387.400390625</v>
      </c>
      <c r="J118" s="107">
        <f t="shared" si="11"/>
        <v>214.09573713511992</v>
      </c>
      <c r="K118" s="111">
        <f t="shared" si="19"/>
        <v>7148.10009765625</v>
      </c>
      <c r="L118" s="101">
        <f t="shared" si="24"/>
        <v>74.430550505050505</v>
      </c>
      <c r="M118" s="101">
        <f t="shared" si="25"/>
        <v>74.430550505050505</v>
      </c>
      <c r="N118" s="107">
        <f t="shared" si="22"/>
        <v>74.430000000000007</v>
      </c>
      <c r="O118" s="82">
        <v>82</v>
      </c>
      <c r="P118" s="82">
        <v>82</v>
      </c>
      <c r="Q118" s="83">
        <f>ROUND(AVERAGE(O118:P118),2)</f>
        <v>82</v>
      </c>
      <c r="S118" s="112"/>
    </row>
    <row r="119" spans="1:19" ht="13">
      <c r="A119" s="6">
        <v>45352</v>
      </c>
      <c r="B119" s="112">
        <v>32810.099609375</v>
      </c>
      <c r="C119" s="38">
        <v>216.33333333333334</v>
      </c>
      <c r="D119" s="38">
        <v>7093.89990234375</v>
      </c>
      <c r="E119" s="113">
        <v>12.754980021967148</v>
      </c>
      <c r="F119" s="32">
        <v>76.320331890331886</v>
      </c>
      <c r="I119" s="100">
        <f t="shared" si="10"/>
        <v>32810.099609375</v>
      </c>
      <c r="J119" s="107">
        <f t="shared" si="11"/>
        <v>216.21086149695117</v>
      </c>
      <c r="K119" s="111">
        <f t="shared" si="19"/>
        <v>7093.89990234375</v>
      </c>
      <c r="L119" s="101">
        <f t="shared" ref="L119" si="26">F119</f>
        <v>76.320331890331886</v>
      </c>
      <c r="M119" s="101">
        <f t="shared" ref="M119" si="27">F119</f>
        <v>76.320331890331886</v>
      </c>
      <c r="N119" s="107">
        <f t="shared" ref="N119" si="28">ROUND(AVERAGE(L119:M119),2)</f>
        <v>76.319999999999993</v>
      </c>
    </row>
    <row r="120" spans="1:19" ht="13">
      <c r="A120" s="6">
        <v>45444</v>
      </c>
      <c r="E120" s="113">
        <v>11.825104228817747</v>
      </c>
      <c r="I120" s="122">
        <v>31353.793217095619</v>
      </c>
      <c r="J120" s="123">
        <f t="shared" si="11"/>
        <v>214.23275416445296</v>
      </c>
      <c r="K120" s="122">
        <v>6717.0094744011385</v>
      </c>
      <c r="L120" s="124">
        <v>87</v>
      </c>
      <c r="M120" s="124">
        <v>88</v>
      </c>
      <c r="N120" s="123">
        <f t="shared" ref="N120:N126" si="29">ROUND(AVERAGE(L120:M120),2)</f>
        <v>87.5</v>
      </c>
    </row>
    <row r="121" spans="1:19" ht="13">
      <c r="A121" s="6">
        <v>45536</v>
      </c>
      <c r="E121" s="113">
        <v>12.064783834552788</v>
      </c>
      <c r="I121" s="122">
        <v>32014.754203210476</v>
      </c>
      <c r="J121" s="123">
        <f t="shared" si="11"/>
        <v>208.02610479212757</v>
      </c>
      <c r="K121" s="122">
        <v>6659.9046127712691</v>
      </c>
      <c r="L121" s="124">
        <v>98</v>
      </c>
      <c r="M121" s="124">
        <v>100</v>
      </c>
      <c r="N121" s="123">
        <f t="shared" si="29"/>
        <v>99</v>
      </c>
      <c r="O121" s="38">
        <f>ROUND(AVERAGE(L119:L122),2)</f>
        <v>84.83</v>
      </c>
      <c r="P121" s="38">
        <f>ROUND(AVERAGE(M119:M122),2)</f>
        <v>86.33</v>
      </c>
      <c r="Q121" s="83">
        <f>ROUND(AVERAGE(O121:P121),2)</f>
        <v>85.58</v>
      </c>
    </row>
    <row r="122" spans="1:19" ht="13">
      <c r="A122" s="6">
        <v>45627</v>
      </c>
      <c r="E122" s="113">
        <v>13.166057722066091</v>
      </c>
      <c r="I122" s="122">
        <v>34536.152705708897</v>
      </c>
      <c r="J122" s="123">
        <f t="shared" si="11"/>
        <v>214.48044595078139</v>
      </c>
      <c r="K122" s="122">
        <v>7407.3294337447296</v>
      </c>
      <c r="L122" s="124">
        <v>78</v>
      </c>
      <c r="M122" s="124">
        <v>81</v>
      </c>
      <c r="N122" s="123">
        <f t="shared" si="29"/>
        <v>79.5</v>
      </c>
      <c r="O122" s="82">
        <v>83</v>
      </c>
      <c r="P122" s="82">
        <v>88</v>
      </c>
      <c r="Q122" s="83">
        <f>ROUND(AVERAGE(O122:P122),2)</f>
        <v>85.5</v>
      </c>
      <c r="S122" s="112"/>
    </row>
    <row r="123" spans="1:19" ht="13">
      <c r="A123" s="6">
        <v>45717</v>
      </c>
      <c r="E123" s="113">
        <v>12.768529797907247</v>
      </c>
      <c r="I123" s="115">
        <v>32870.09297437522</v>
      </c>
      <c r="J123" s="125">
        <f t="shared" si="11"/>
        <v>217.39691854168942</v>
      </c>
      <c r="K123" s="115">
        <v>7145.8569248080075</v>
      </c>
      <c r="L123" s="116">
        <v>74</v>
      </c>
      <c r="M123" s="116">
        <v>78</v>
      </c>
      <c r="N123" s="117">
        <f t="shared" si="29"/>
        <v>76</v>
      </c>
      <c r="O123" s="118"/>
      <c r="P123" s="118"/>
      <c r="Q123" s="118"/>
    </row>
    <row r="124" spans="1:19" ht="13">
      <c r="A124" s="6">
        <v>45809</v>
      </c>
      <c r="E124" s="113">
        <v>11.871105850862145</v>
      </c>
      <c r="I124" s="115">
        <v>31472.031410948366</v>
      </c>
      <c r="J124" s="125">
        <f t="shared" si="11"/>
        <v>215.21402388884655</v>
      </c>
      <c r="K124" s="115">
        <v>6773.2225199063705</v>
      </c>
      <c r="L124" s="116">
        <v>84</v>
      </c>
      <c r="M124" s="116">
        <v>89</v>
      </c>
      <c r="N124" s="117">
        <f t="shared" si="29"/>
        <v>86.5</v>
      </c>
      <c r="O124" s="118"/>
      <c r="P124" s="118"/>
      <c r="Q124" s="118"/>
    </row>
    <row r="125" spans="1:19" ht="13">
      <c r="A125" s="6">
        <v>45901</v>
      </c>
      <c r="E125" s="113">
        <v>12.205973962718717</v>
      </c>
      <c r="I125" s="115">
        <v>32439.017704885824</v>
      </c>
      <c r="J125" s="125">
        <f t="shared" si="11"/>
        <v>208.62850245767046</v>
      </c>
      <c r="K125" s="115">
        <v>6767.7036849681881</v>
      </c>
      <c r="L125" s="116">
        <v>95</v>
      </c>
      <c r="M125" s="116">
        <v>101</v>
      </c>
      <c r="N125" s="117">
        <f t="shared" si="29"/>
        <v>98</v>
      </c>
      <c r="O125" s="119">
        <f>ROUND(AVERAGE(L123:L126),2)</f>
        <v>82</v>
      </c>
      <c r="P125" s="119">
        <f>ROUND(AVERAGE(M123:M126),2)</f>
        <v>87.5</v>
      </c>
      <c r="Q125" s="120">
        <f>ROUND(AVERAGE(O125:P125),2)</f>
        <v>84.75</v>
      </c>
    </row>
    <row r="126" spans="1:19" ht="13">
      <c r="A126" s="6">
        <v>45992</v>
      </c>
      <c r="E126" s="113">
        <v>13.379960327595175</v>
      </c>
      <c r="I126" s="115">
        <v>35036.502862147267</v>
      </c>
      <c r="J126" s="125">
        <f t="shared" si="11"/>
        <v>215.53037083380426</v>
      </c>
      <c r="K126" s="115">
        <v>7551.4304545982441</v>
      </c>
      <c r="L126" s="116">
        <v>75</v>
      </c>
      <c r="M126" s="116">
        <v>82</v>
      </c>
      <c r="N126" s="117">
        <f t="shared" si="29"/>
        <v>78.5</v>
      </c>
      <c r="O126" s="121">
        <v>80</v>
      </c>
      <c r="P126" s="121">
        <v>89</v>
      </c>
      <c r="Q126" s="120">
        <f>ROUND(AVERAGE(O126:P126),2)</f>
        <v>84.5</v>
      </c>
      <c r="S126" s="112"/>
    </row>
    <row r="127" spans="1:19">
      <c r="A127" s="6"/>
      <c r="L127" s="20"/>
      <c r="M127" s="20"/>
    </row>
    <row r="128" spans="1:19">
      <c r="A128" s="6"/>
      <c r="L128" s="20"/>
      <c r="M128" s="20"/>
    </row>
    <row r="129" spans="1:13">
      <c r="A129" s="6"/>
      <c r="L129" s="20"/>
      <c r="M129" s="20"/>
    </row>
    <row r="130" spans="1:13">
      <c r="A130" s="6"/>
      <c r="L130" s="20"/>
      <c r="M130" s="20"/>
    </row>
    <row r="131" spans="1:13">
      <c r="L131" s="20"/>
      <c r="M131" s="20"/>
    </row>
    <row r="132" spans="1:13">
      <c r="L132" s="20"/>
      <c r="M132" s="20"/>
    </row>
    <row r="133" spans="1:13">
      <c r="L133" s="20"/>
      <c r="M133" s="20"/>
    </row>
    <row r="134" spans="1:13">
      <c r="L134" s="20"/>
      <c r="M134" s="20"/>
    </row>
    <row r="135" spans="1:13">
      <c r="L135" s="20"/>
      <c r="M135" s="20"/>
    </row>
    <row r="136" spans="1:13">
      <c r="L136" s="20"/>
      <c r="M136" s="20"/>
    </row>
    <row r="137" spans="1:13">
      <c r="L137" s="20"/>
      <c r="M137" s="20"/>
    </row>
    <row r="138" spans="1:13">
      <c r="L138" s="20"/>
      <c r="M138" s="20"/>
    </row>
    <row r="139" spans="1:13">
      <c r="L139" s="20"/>
      <c r="M139" s="20"/>
    </row>
    <row r="140" spans="1:13">
      <c r="L140" s="20"/>
      <c r="M140" s="20"/>
    </row>
    <row r="141" spans="1:13">
      <c r="L141" s="20"/>
      <c r="M141" s="20"/>
    </row>
    <row r="142" spans="1:13">
      <c r="L142" s="20"/>
      <c r="M142" s="20"/>
    </row>
    <row r="143" spans="1:13">
      <c r="L143" s="20"/>
      <c r="M143" s="20"/>
    </row>
    <row r="144" spans="1:13">
      <c r="L144" s="20"/>
      <c r="M144" s="20"/>
    </row>
    <row r="145" spans="12:13">
      <c r="L145" s="20"/>
      <c r="M145" s="20"/>
    </row>
    <row r="146" spans="12:13">
      <c r="L146" s="20"/>
      <c r="M146" s="20"/>
    </row>
    <row r="147" spans="12:13">
      <c r="L147" s="20"/>
      <c r="M147" s="20"/>
    </row>
    <row r="148" spans="12:13">
      <c r="L148" s="20"/>
      <c r="M148" s="20"/>
    </row>
    <row r="149" spans="12:13">
      <c r="L149" s="20"/>
      <c r="M149" s="20"/>
    </row>
    <row r="150" spans="12:13">
      <c r="L150" s="20"/>
      <c r="M150" s="20"/>
    </row>
    <row r="151" spans="12:13">
      <c r="L151" s="20"/>
      <c r="M151" s="20"/>
    </row>
    <row r="152" spans="12:13">
      <c r="L152" s="20"/>
      <c r="M152" s="20"/>
    </row>
    <row r="153" spans="12:13">
      <c r="L153" s="20"/>
      <c r="M153" s="20"/>
    </row>
    <row r="154" spans="12:13">
      <c r="L154" s="20"/>
      <c r="M154" s="20"/>
    </row>
    <row r="155" spans="12:13">
      <c r="L155" s="20"/>
      <c r="M155" s="20"/>
    </row>
    <row r="156" spans="12:13">
      <c r="L156" s="20"/>
      <c r="M156" s="20"/>
    </row>
    <row r="157" spans="12:13">
      <c r="L157" s="20"/>
      <c r="M157" s="20"/>
    </row>
    <row r="158" spans="12:13">
      <c r="L158" s="20"/>
      <c r="M158" s="20"/>
    </row>
    <row r="159" spans="12:13">
      <c r="L159" s="20"/>
      <c r="M159" s="20"/>
    </row>
    <row r="160" spans="12:13">
      <c r="L160" s="20"/>
      <c r="M160" s="20"/>
    </row>
    <row r="161" spans="12:13">
      <c r="L161" s="20"/>
      <c r="M161" s="20"/>
    </row>
    <row r="162" spans="12:13">
      <c r="L162" s="20"/>
      <c r="M162" s="20"/>
    </row>
    <row r="163" spans="12:13">
      <c r="L163" s="20"/>
      <c r="M163" s="20"/>
    </row>
    <row r="164" spans="12:13">
      <c r="L164" s="20"/>
      <c r="M164" s="20"/>
    </row>
    <row r="165" spans="12:13">
      <c r="L165" s="20"/>
      <c r="M165" s="20"/>
    </row>
    <row r="166" spans="12:13">
      <c r="L166" s="20"/>
      <c r="M166" s="20"/>
    </row>
    <row r="167" spans="12:13">
      <c r="L167" s="20"/>
      <c r="M167" s="20"/>
    </row>
    <row r="168" spans="12:13">
      <c r="L168" s="20"/>
      <c r="M168" s="20"/>
    </row>
    <row r="169" spans="12:13">
      <c r="L169" s="20"/>
      <c r="M169" s="20"/>
    </row>
    <row r="170" spans="12:13">
      <c r="L170" s="20"/>
      <c r="M170" s="20"/>
    </row>
    <row r="171" spans="12:13">
      <c r="L171" s="20"/>
      <c r="M171" s="20"/>
    </row>
    <row r="172" spans="12:13">
      <c r="L172" s="20"/>
      <c r="M172" s="20"/>
    </row>
    <row r="173" spans="12:13">
      <c r="L173" s="20"/>
      <c r="M173" s="20"/>
    </row>
    <row r="174" spans="12:13">
      <c r="L174" s="20"/>
      <c r="M174" s="20"/>
    </row>
    <row r="175" spans="12:13">
      <c r="L175" s="20"/>
      <c r="M175" s="20"/>
    </row>
    <row r="176" spans="12:13">
      <c r="L176" s="20"/>
      <c r="M176" s="20"/>
    </row>
    <row r="177" spans="12:13">
      <c r="L177" s="20"/>
      <c r="M177" s="20"/>
    </row>
    <row r="178" spans="12:13">
      <c r="L178" s="20"/>
      <c r="M178" s="20"/>
    </row>
    <row r="179" spans="12:13">
      <c r="L179" s="20"/>
      <c r="M179" s="20"/>
    </row>
    <row r="180" spans="12:13">
      <c r="L180" s="20"/>
      <c r="M180" s="20"/>
    </row>
    <row r="181" spans="12:13">
      <c r="L181" s="20"/>
      <c r="M181" s="20"/>
    </row>
    <row r="182" spans="12:13">
      <c r="L182" s="20"/>
      <c r="M182" s="20"/>
    </row>
    <row r="183" spans="12:13">
      <c r="L183" s="20"/>
      <c r="M183" s="20"/>
    </row>
    <row r="184" spans="12:13">
      <c r="L184" s="20"/>
      <c r="M184" s="20"/>
    </row>
    <row r="185" spans="12:13">
      <c r="L185" s="20"/>
      <c r="M185" s="20"/>
    </row>
    <row r="186" spans="12:13">
      <c r="L186" s="20"/>
      <c r="M186" s="20"/>
    </row>
    <row r="187" spans="12:13">
      <c r="L187" s="20"/>
      <c r="M187" s="20"/>
    </row>
    <row r="188" spans="12:13">
      <c r="L188" s="20"/>
      <c r="M188" s="20"/>
    </row>
    <row r="189" spans="12:13">
      <c r="L189" s="20"/>
      <c r="M189" s="20"/>
    </row>
    <row r="190" spans="12:13">
      <c r="L190" s="20"/>
      <c r="M190" s="20"/>
    </row>
    <row r="191" spans="12:13">
      <c r="L191" s="20"/>
      <c r="M191" s="20"/>
    </row>
    <row r="192" spans="12:13">
      <c r="L192" s="20"/>
      <c r="M192" s="20"/>
    </row>
    <row r="193" spans="12:13">
      <c r="L193" s="20"/>
      <c r="M193" s="20"/>
    </row>
    <row r="194" spans="12:13">
      <c r="L194" s="20"/>
      <c r="M194" s="20"/>
    </row>
    <row r="195" spans="12:13">
      <c r="L195" s="20"/>
      <c r="M195" s="20"/>
    </row>
    <row r="196" spans="12:13">
      <c r="L196" s="20"/>
      <c r="M196" s="20"/>
    </row>
    <row r="197" spans="12:13">
      <c r="L197" s="20"/>
      <c r="M197" s="20"/>
    </row>
    <row r="198" spans="12:13">
      <c r="L198" s="20"/>
      <c r="M198" s="20"/>
    </row>
    <row r="199" spans="12:13">
      <c r="L199" s="20"/>
      <c r="M199" s="20"/>
    </row>
    <row r="200" spans="12:13">
      <c r="L200" s="20"/>
      <c r="M200" s="20"/>
    </row>
    <row r="201" spans="12:13">
      <c r="L201" s="20"/>
      <c r="M201" s="20"/>
    </row>
    <row r="202" spans="12:13">
      <c r="L202" s="20"/>
      <c r="M202" s="20"/>
    </row>
    <row r="203" spans="12:13">
      <c r="L203" s="20"/>
      <c r="M203" s="20"/>
    </row>
    <row r="204" spans="12:13">
      <c r="L204" s="20"/>
      <c r="M204" s="20"/>
    </row>
    <row r="205" spans="12:13">
      <c r="L205" s="20"/>
      <c r="M205" s="20"/>
    </row>
    <row r="206" spans="12:13">
      <c r="L206" s="20"/>
      <c r="M206" s="20"/>
    </row>
    <row r="207" spans="12:13">
      <c r="L207" s="20"/>
      <c r="M207" s="20"/>
    </row>
    <row r="208" spans="12:13">
      <c r="L208" s="20"/>
      <c r="M208" s="20"/>
    </row>
    <row r="209" spans="12:13">
      <c r="L209" s="20"/>
      <c r="M209" s="20"/>
    </row>
    <row r="210" spans="12:13">
      <c r="L210" s="20"/>
      <c r="M210" s="20"/>
    </row>
    <row r="211" spans="12:13">
      <c r="L211" s="20"/>
      <c r="M211" s="20"/>
    </row>
    <row r="212" spans="12:13">
      <c r="L212" s="20"/>
      <c r="M212" s="20"/>
    </row>
    <row r="213" spans="12:13">
      <c r="L213" s="20"/>
      <c r="M213" s="20"/>
    </row>
    <row r="214" spans="12:13">
      <c r="L214" s="20"/>
      <c r="M214" s="20"/>
    </row>
    <row r="215" spans="12:13">
      <c r="L215" s="20"/>
      <c r="M215" s="20"/>
    </row>
    <row r="216" spans="12:13">
      <c r="L216" s="20"/>
      <c r="M216" s="20"/>
    </row>
    <row r="217" spans="12:13">
      <c r="L217" s="20"/>
      <c r="M217" s="20"/>
    </row>
    <row r="218" spans="12:13">
      <c r="L218" s="20"/>
      <c r="M218" s="20"/>
    </row>
    <row r="219" spans="12:13">
      <c r="L219" s="20"/>
      <c r="M219" s="20"/>
    </row>
    <row r="220" spans="12:13">
      <c r="L220" s="20"/>
      <c r="M220" s="20"/>
    </row>
    <row r="221" spans="12:13">
      <c r="L221" s="20"/>
      <c r="M221" s="20"/>
    </row>
    <row r="222" spans="12:13">
      <c r="L222" s="20"/>
      <c r="M222" s="20"/>
    </row>
    <row r="223" spans="12:13">
      <c r="L223" s="20"/>
      <c r="M223" s="20"/>
    </row>
    <row r="224" spans="12:13">
      <c r="L224" s="20"/>
      <c r="M224" s="20"/>
    </row>
    <row r="225" spans="12:13">
      <c r="L225" s="20"/>
      <c r="M225" s="20"/>
    </row>
    <row r="226" spans="12:13">
      <c r="L226" s="20"/>
      <c r="M226" s="20"/>
    </row>
    <row r="227" spans="12:13">
      <c r="L227" s="20"/>
      <c r="M227" s="20"/>
    </row>
    <row r="228" spans="12:13">
      <c r="L228" s="20"/>
      <c r="M228" s="20"/>
    </row>
    <row r="229" spans="12:13">
      <c r="L229" s="20"/>
      <c r="M229" s="20"/>
    </row>
    <row r="230" spans="12:13">
      <c r="L230" s="20"/>
      <c r="M230" s="20"/>
    </row>
    <row r="231" spans="12:13">
      <c r="L231" s="20"/>
      <c r="M231" s="20"/>
    </row>
    <row r="232" spans="12:13">
      <c r="L232" s="20"/>
      <c r="M232" s="20"/>
    </row>
    <row r="233" spans="12:13">
      <c r="L233" s="20"/>
      <c r="M233" s="20"/>
    </row>
    <row r="234" spans="12:13">
      <c r="L234" s="20"/>
      <c r="M234" s="20"/>
    </row>
    <row r="235" spans="12:13">
      <c r="L235" s="20"/>
      <c r="M235" s="20"/>
    </row>
    <row r="236" spans="12:13">
      <c r="L236" s="20"/>
      <c r="M236" s="20"/>
    </row>
    <row r="237" spans="12:13">
      <c r="L237" s="20"/>
      <c r="M237" s="20"/>
    </row>
    <row r="238" spans="12:13">
      <c r="L238" s="20"/>
      <c r="M238" s="20"/>
    </row>
    <row r="239" spans="12:13">
      <c r="L239" s="20"/>
      <c r="M239" s="20"/>
    </row>
    <row r="240" spans="12:13">
      <c r="L240" s="20"/>
      <c r="M240" s="20"/>
    </row>
    <row r="241" spans="12:13">
      <c r="L241" s="20"/>
      <c r="M241" s="20"/>
    </row>
    <row r="242" spans="12:13">
      <c r="L242" s="20"/>
      <c r="M242" s="20"/>
    </row>
    <row r="243" spans="12:13">
      <c r="L243" s="20"/>
      <c r="M243" s="20"/>
    </row>
    <row r="244" spans="12:13">
      <c r="L244" s="20"/>
      <c r="M244" s="20"/>
    </row>
    <row r="245" spans="12:13">
      <c r="L245" s="20"/>
      <c r="M245" s="20"/>
    </row>
    <row r="246" spans="12:13">
      <c r="L246" s="20"/>
      <c r="M246" s="20"/>
    </row>
  </sheetData>
  <phoneticPr fontId="0" type="noConversion"/>
  <pageMargins left="0.25" right="0.25" top="0.25" bottom="0.05" header="0.5" footer="0.5"/>
  <pageSetup scale="50" orientation="landscape" horizontalDpi="4294967292" verticalDpi="4294967292" r:id="rId1"/>
  <headerFooter alignWithMargins="0">
    <oddFooter>&amp;L&amp;A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autoPageBreaks="0"/>
  </sheetPr>
  <dimension ref="A1:O56"/>
  <sheetViews>
    <sheetView tabSelected="1" zoomScale="70" zoomScaleNormal="70" workbookViewId="0">
      <pane xSplit="2" ySplit="7" topLeftCell="C21" activePane="bottomRight" state="frozen"/>
      <selection pane="topRight" activeCell="B1" sqref="B1"/>
      <selection pane="bottomLeft" activeCell="A8" sqref="A8"/>
      <selection pane="bottomRight" activeCell="K52" sqref="K52"/>
    </sheetView>
  </sheetViews>
  <sheetFormatPr defaultColWidth="9.7265625" defaultRowHeight="12.5"/>
  <cols>
    <col min="1" max="1" width="13" style="4" customWidth="1"/>
    <col min="2" max="2" width="2.26953125" customWidth="1"/>
    <col min="3" max="3" width="20.26953125" style="4" customWidth="1"/>
    <col min="4" max="4" width="16.453125" style="4" customWidth="1"/>
    <col min="5" max="5" width="20.26953125" style="4" customWidth="1"/>
    <col min="6" max="6" width="16.453125" style="5" customWidth="1"/>
    <col min="7" max="7" width="20.26953125" style="4" customWidth="1"/>
    <col min="8" max="8" width="16.453125" style="4" customWidth="1"/>
    <col min="9" max="9" width="20.26953125" style="4" customWidth="1"/>
    <col min="10" max="10" width="16.453125" style="4" customWidth="1"/>
    <col min="11" max="11" width="20.26953125" style="4" customWidth="1"/>
    <col min="12" max="12" width="16.453125" style="4" customWidth="1"/>
    <col min="13" max="16384" width="9.7265625" style="4"/>
  </cols>
  <sheetData>
    <row r="1" spans="1:12" ht="25">
      <c r="C1" s="1"/>
      <c r="D1" s="2"/>
      <c r="E1" s="2"/>
      <c r="F1" s="3"/>
      <c r="G1" s="24" t="s">
        <v>95</v>
      </c>
      <c r="H1" s="24"/>
      <c r="I1" s="2"/>
      <c r="J1" s="2"/>
      <c r="K1" s="2"/>
      <c r="L1" s="2"/>
    </row>
    <row r="2" spans="1:12" ht="25">
      <c r="C2" s="12"/>
      <c r="D2" s="12"/>
      <c r="E2" s="12"/>
      <c r="F2" s="13"/>
      <c r="G2" s="24" t="s">
        <v>94</v>
      </c>
      <c r="H2" s="24"/>
      <c r="I2" s="12"/>
      <c r="J2" s="12"/>
      <c r="K2" s="16"/>
      <c r="L2" s="14">
        <f ca="1">NOW()</f>
        <v>45418.399501736109</v>
      </c>
    </row>
    <row r="3" spans="1:12" ht="17.5">
      <c r="A3" s="11"/>
      <c r="C3" s="11"/>
      <c r="D3" s="11"/>
      <c r="E3" s="11"/>
      <c r="F3" s="15"/>
      <c r="G3" s="11"/>
      <c r="H3" s="11"/>
      <c r="I3" s="11"/>
      <c r="J3" s="11"/>
      <c r="K3" s="16"/>
      <c r="L3" s="75">
        <v>7.1</v>
      </c>
    </row>
    <row r="4" spans="1:12" ht="18" thickBot="1">
      <c r="A4" s="11"/>
      <c r="B4" s="11"/>
      <c r="C4" s="11"/>
      <c r="D4" s="11"/>
      <c r="E4" s="11"/>
      <c r="F4" s="15"/>
      <c r="G4" s="11"/>
      <c r="H4" s="11"/>
      <c r="I4" s="11"/>
      <c r="J4" s="11"/>
      <c r="K4" s="16"/>
      <c r="L4" s="14"/>
    </row>
    <row r="5" spans="1:12" ht="18.5" thickTop="1">
      <c r="A5" s="26"/>
      <c r="B5" s="26"/>
      <c r="C5" s="26"/>
      <c r="D5" s="26" t="s">
        <v>18</v>
      </c>
      <c r="E5" s="26" t="s">
        <v>21</v>
      </c>
      <c r="F5" s="26" t="s">
        <v>18</v>
      </c>
      <c r="G5" s="26" t="s">
        <v>67</v>
      </c>
      <c r="H5" s="26" t="s">
        <v>18</v>
      </c>
      <c r="I5" s="26"/>
      <c r="J5" s="26" t="s">
        <v>18</v>
      </c>
      <c r="K5" s="26" t="s">
        <v>105</v>
      </c>
      <c r="L5" s="26" t="s">
        <v>18</v>
      </c>
    </row>
    <row r="6" spans="1:12" ht="18">
      <c r="A6" s="22" t="s">
        <v>0</v>
      </c>
      <c r="C6" s="22" t="s">
        <v>67</v>
      </c>
      <c r="D6" s="22" t="s">
        <v>19</v>
      </c>
      <c r="E6" s="22" t="s">
        <v>75</v>
      </c>
      <c r="F6" s="22" t="s">
        <v>19</v>
      </c>
      <c r="G6" s="22" t="s">
        <v>76</v>
      </c>
      <c r="H6" s="22" t="s">
        <v>19</v>
      </c>
      <c r="I6" s="22" t="s">
        <v>68</v>
      </c>
      <c r="J6" s="22" t="s">
        <v>19</v>
      </c>
      <c r="K6" s="22" t="s">
        <v>77</v>
      </c>
      <c r="L6" s="22" t="s">
        <v>19</v>
      </c>
    </row>
    <row r="7" spans="1:12" ht="20.25" customHeight="1" thickBot="1">
      <c r="A7" s="21" t="s">
        <v>17</v>
      </c>
      <c r="B7" s="21"/>
      <c r="C7" s="21" t="s">
        <v>69</v>
      </c>
      <c r="D7" s="21" t="s">
        <v>20</v>
      </c>
      <c r="E7" s="21" t="s">
        <v>70</v>
      </c>
      <c r="F7" s="21" t="s">
        <v>20</v>
      </c>
      <c r="G7" s="21" t="s">
        <v>15</v>
      </c>
      <c r="H7" s="21" t="s">
        <v>20</v>
      </c>
      <c r="I7" s="21" t="s">
        <v>78</v>
      </c>
      <c r="J7" s="21" t="s">
        <v>20</v>
      </c>
      <c r="K7" s="21" t="s">
        <v>101</v>
      </c>
      <c r="L7" s="21" t="s">
        <v>20</v>
      </c>
    </row>
    <row r="8" spans="1:12" ht="18.5" thickTop="1">
      <c r="A8" s="22"/>
      <c r="C8" s="16" t="s">
        <v>22</v>
      </c>
      <c r="D8" s="16"/>
      <c r="E8" s="16" t="s">
        <v>23</v>
      </c>
      <c r="F8" s="16"/>
      <c r="G8" s="16" t="s">
        <v>24</v>
      </c>
      <c r="H8" s="16"/>
      <c r="I8" s="16" t="s">
        <v>71</v>
      </c>
      <c r="J8" s="16"/>
      <c r="K8" s="16" t="s">
        <v>25</v>
      </c>
      <c r="L8" s="11"/>
    </row>
    <row r="9" spans="1:12" ht="9" customHeight="1">
      <c r="A9" s="22"/>
      <c r="C9" s="19"/>
      <c r="D9" s="19"/>
      <c r="E9" s="19"/>
      <c r="F9" s="19"/>
      <c r="G9" s="19"/>
      <c r="H9" s="19"/>
      <c r="I9" s="19"/>
      <c r="J9" s="19"/>
      <c r="K9" s="19"/>
      <c r="L9" s="19"/>
    </row>
    <row r="10" spans="1:12" ht="17.5">
      <c r="A10" s="16">
        <f>+Sheet1!B4</f>
        <v>2019</v>
      </c>
      <c r="C10" s="11"/>
      <c r="D10" s="11"/>
      <c r="E10" s="11"/>
      <c r="F10" s="15"/>
      <c r="G10" s="11"/>
      <c r="H10" s="11"/>
      <c r="I10" s="11"/>
      <c r="J10" s="11"/>
      <c r="K10" s="11"/>
      <c r="L10" s="11"/>
    </row>
    <row r="11" spans="1:12" ht="17.5">
      <c r="A11" s="16" t="str">
        <f>+Sheet1!B5</f>
        <v>I</v>
      </c>
      <c r="C11" s="33">
        <f ca="1">OFFSET(Sheet2!B$1,Sheet1!$C5,0)</f>
        <v>31869.5</v>
      </c>
      <c r="D11" s="71">
        <f ca="1">(C11/OFFSET(Sheet2!B$1,Sheet1!$C5-4,0)-1)*100</f>
        <v>2.5610081837695642</v>
      </c>
      <c r="E11" s="33">
        <f ca="1">OFFSET(Sheet2!C$1,Sheet1!$C5,0)</f>
        <v>214.66666666666666</v>
      </c>
      <c r="F11" s="71">
        <f ca="1">(E11/OFFSET(Sheet2!C$1,Sheet1!$C5-4,0)-1)*100</f>
        <v>0.31152647975076775</v>
      </c>
      <c r="G11" s="33">
        <f ca="1">OFFSET(Sheet2!D$1,Sheet1!$C5,0)</f>
        <v>6817</v>
      </c>
      <c r="H11" s="71">
        <f ca="1">(G11/OFFSET(Sheet2!D$1,Sheet1!$C5-4,0)-1)*100</f>
        <v>2.5884123401053394</v>
      </c>
      <c r="I11" s="80">
        <f ca="1">OFFSET(Sheet2!E$1,Sheet1!$C5,0)</f>
        <v>13.058952055355434</v>
      </c>
      <c r="J11" s="71">
        <f ca="1">(I11/OFFSET(Sheet2!E$1,Sheet1!$C5-4,0)-1)*100</f>
        <v>3.8507192991086514</v>
      </c>
      <c r="K11" s="64">
        <f ca="1">IF(OFFSET(Sheet2!F$1,Sheet1!$C5,0)=0,"",OFFSET(Sheet2!F$1,Sheet1!$C5,0))</f>
        <v>58.31005555555555</v>
      </c>
      <c r="L11" s="71">
        <f ca="1">IF(OFFSET(Sheet2!F$1,Sheet1!$C5-4,0)="","",(K11/OFFSET(Sheet2!F$1,Sheet1!$C5-4,0)-1)*100)</f>
        <v>-14.021869355200012</v>
      </c>
    </row>
    <row r="12" spans="1:12" ht="17.5">
      <c r="A12" s="16" t="str">
        <f>+Sheet1!B6</f>
        <v>II</v>
      </c>
      <c r="C12" s="33">
        <f ca="1">OFFSET(Sheet2!B$1,Sheet1!$C6,0)</f>
        <v>30927.1</v>
      </c>
      <c r="D12" s="71">
        <f ca="1">(C12/OFFSET(Sheet2!B$1,Sheet1!$C6-4,0)-1)*100</f>
        <v>3.7206089000828335</v>
      </c>
      <c r="E12" s="33">
        <f ca="1">OFFSET(Sheet2!C$1,Sheet1!$C6,0)</f>
        <v>214.33333333333334</v>
      </c>
      <c r="F12" s="71">
        <f ca="1">(E12/OFFSET(Sheet2!C$1,Sheet1!$C6-4,0)-1)*100</f>
        <v>0.94191522762951951</v>
      </c>
      <c r="G12" s="33">
        <f ca="1">OFFSET(Sheet2!D$1,Sheet1!$C6,0)</f>
        <v>6615.4000000000005</v>
      </c>
      <c r="H12" s="71">
        <f ca="1">(G12/OFFSET(Sheet2!D$1,Sheet1!$C6-4,0)-1)*100</f>
        <v>4.5929579914307128</v>
      </c>
      <c r="I12" s="80">
        <f ca="1">OFFSET(Sheet2!E$1,Sheet1!$C6,0)</f>
        <v>12.507746282659346</v>
      </c>
      <c r="J12" s="71">
        <f ca="1">(I12/OFFSET(Sheet2!E$1,Sheet1!$C6-4,0)-1)*100</f>
        <v>2.6464358250087416</v>
      </c>
      <c r="K12" s="64">
        <f ca="1">IF(OFFSET(Sheet2!F$1,Sheet1!$C6,0)=0,"",OFFSET(Sheet2!F$1,Sheet1!$C6,0))</f>
        <v>78.757469696969679</v>
      </c>
      <c r="L12" s="71">
        <f ca="1">IF(OFFSET(Sheet2!F$1,Sheet1!$C6-4,0)="","",(K12/OFFSET(Sheet2!F$1,Sheet1!$C6-4,0)-1)*100)</f>
        <v>16.120335415228794</v>
      </c>
    </row>
    <row r="13" spans="1:12" ht="17.5">
      <c r="A13" s="16" t="str">
        <f>+Sheet1!B7</f>
        <v>III</v>
      </c>
      <c r="C13" s="33">
        <f ca="1">OFFSET(Sheet2!B$1,Sheet1!$C7,0)</f>
        <v>32088.400000000001</v>
      </c>
      <c r="D13" s="71">
        <f ca="1">(C13/OFFSET(Sheet2!B$1,Sheet1!$C7-4,0)-1)*100</f>
        <v>5.5581141360843134</v>
      </c>
      <c r="E13" s="33">
        <f ca="1">OFFSET(Sheet2!C$1,Sheet1!$C7,0)</f>
        <v>209</v>
      </c>
      <c r="F13" s="71">
        <f ca="1">(E13/OFFSET(Sheet2!C$1,Sheet1!$C7-4,0)-1)*100</f>
        <v>0.48076923076922906</v>
      </c>
      <c r="G13" s="33">
        <f ca="1">OFFSET(Sheet2!D$1,Sheet1!$C7,0)</f>
        <v>6705.8000000000011</v>
      </c>
      <c r="H13" s="71">
        <f ca="1">(G13/OFFSET(Sheet2!D$1,Sheet1!$C7-4,0)-1)*100</f>
        <v>6.1934850428365662</v>
      </c>
      <c r="I13" s="80">
        <f ca="1">OFFSET(Sheet2!E$1,Sheet1!$C7,0)</f>
        <v>12.874435951646024</v>
      </c>
      <c r="J13" s="71">
        <f ca="1">(I13/OFFSET(Sheet2!E$1,Sheet1!$C7-4,0)-1)*100</f>
        <v>3.6631567690224909</v>
      </c>
      <c r="K13" s="64">
        <f ca="1">IF(OFFSET(Sheet2!F$1,Sheet1!$C7,0)=0,"",OFFSET(Sheet2!F$1,Sheet1!$C7,0))</f>
        <v>70.545333333333332</v>
      </c>
      <c r="L13" s="71">
        <f ca="1">IF(OFFSET(Sheet2!F$1,Sheet1!$C7-4,0)="","",(K13/OFFSET(Sheet2!F$1,Sheet1!$C7-4,0)-1)*100)</f>
        <v>12.127331771150418</v>
      </c>
    </row>
    <row r="14" spans="1:12" ht="17.5">
      <c r="A14" s="16" t="str">
        <f>+Sheet1!B8</f>
        <v>IV</v>
      </c>
      <c r="C14" s="33">
        <f ca="1">OFFSET(Sheet2!B$1,Sheet1!$C8,0)</f>
        <v>35028</v>
      </c>
      <c r="D14" s="71">
        <f ca="1">(C14/OFFSET(Sheet2!B$1,Sheet1!$C8-4,0)-1)*100</f>
        <v>5.6804605191702162</v>
      </c>
      <c r="E14" s="33">
        <f ca="1">OFFSET(Sheet2!C$1,Sheet1!$C8,0)</f>
        <v>214</v>
      </c>
      <c r="F14" s="71">
        <f ca="1">(E14/OFFSET(Sheet2!C$1,Sheet1!$C8-4,0)-1)*100</f>
        <v>0.62695924764890609</v>
      </c>
      <c r="G14" s="33">
        <f ca="1">OFFSET(Sheet2!D$1,Sheet1!$C8,0)</f>
        <v>7478.1</v>
      </c>
      <c r="H14" s="71">
        <f ca="1">(G14/OFFSET(Sheet2!D$1,Sheet1!$C8-4,0)-1)*100</f>
        <v>6.3650328563707115</v>
      </c>
      <c r="I14" s="80">
        <f ca="1">OFFSET(Sheet2!E$1,Sheet1!$C8,0)</f>
        <v>13.920968739894438</v>
      </c>
      <c r="J14" s="71">
        <f ca="1">(I14/OFFSET(Sheet2!E$1,Sheet1!$C8-4,0)-1)*100</f>
        <v>0.67764484613896947</v>
      </c>
      <c r="K14" s="64">
        <f ca="1">IF(OFFSET(Sheet2!F$1,Sheet1!$C8,0)=0,"",OFFSET(Sheet2!F$1,Sheet1!$C8,0))</f>
        <v>62.165043478260863</v>
      </c>
      <c r="L14" s="71">
        <f ca="1">(K14/OFFSET(Sheet2!F$1,Sheet1!$C8-4,0)-1)*100</f>
        <v>3.3635086320852992</v>
      </c>
    </row>
    <row r="15" spans="1:12" ht="17.5">
      <c r="A15" s="16" t="s">
        <v>0</v>
      </c>
      <c r="C15" s="33">
        <f ca="1">SUM(C11:C14)</f>
        <v>129913</v>
      </c>
      <c r="D15" s="71">
        <f ca="1">(C15/SUM(OFFSET(Sheet2!B$1,Sheet1!$C5-4,0):OFFSET(Sheet2!B$1,Sheet1!$C8-4,0))-1)*100</f>
        <v>4.4019627855095944</v>
      </c>
      <c r="E15" s="33">
        <f ca="1">AVERAGE(E11:E14)</f>
        <v>213</v>
      </c>
      <c r="F15" s="71">
        <f ca="1">(E15/(AVERAGE(OFFSET(Sheet2!C$1,Sheet1!$C5-4,0):OFFSET(Sheet2!C$1,Sheet1!$C8-4,0)))-1)*100</f>
        <v>0.59031877213695516</v>
      </c>
      <c r="G15" s="33">
        <f ca="1">SUM(G11:G14)</f>
        <v>27616.300000000003</v>
      </c>
      <c r="H15" s="71">
        <f ca="1">(G15/(SUM(OFFSET(Sheet2!D$1,Sheet1!$C5-4,0):OFFSET(Sheet2!D$1,Sheet1!$C8-4,0)))-1)*100</f>
        <v>4.9442907521128676</v>
      </c>
      <c r="I15" s="80">
        <f ca="1">SUM(I11:I14)</f>
        <v>52.362103029555243</v>
      </c>
      <c r="J15" s="71">
        <f ca="1">(I15/(SUM(OFFSET(Sheet2!E$1,Sheet1!$C5-4,0):OFFSET(Sheet2!E$1,Sheet1!$C8-4,0)))-1)*100</f>
        <v>2.6571735869797219</v>
      </c>
      <c r="K15" s="64">
        <f ca="1">IF(K11="","",AVERAGE(K11:K14))</f>
        <v>67.444475516029854</v>
      </c>
      <c r="L15" s="71">
        <f ca="1">IF(OFFSET(Sheet2!F$1,Sheet1!$C5-4,0)="","",(K15/(AVERAGE(OFFSET(Sheet2!F$1,Sheet1!$C5-4,0):OFFSET(Sheet2!F$1,Sheet1!$C8-4,0)))-1)*100)</f>
        <v>4.2816659741559793</v>
      </c>
    </row>
    <row r="16" spans="1:12" ht="17.5">
      <c r="A16" s="16">
        <f>+Sheet1!B10</f>
        <v>2020</v>
      </c>
      <c r="C16" s="34"/>
      <c r="D16" s="71"/>
      <c r="E16" s="34"/>
      <c r="F16" s="71"/>
      <c r="G16" s="33"/>
      <c r="H16" s="71"/>
      <c r="I16" s="80"/>
      <c r="J16" s="71"/>
      <c r="K16" s="65"/>
      <c r="L16" s="71"/>
    </row>
    <row r="17" spans="1:12" ht="17.5">
      <c r="A17" s="16" t="str">
        <f>+Sheet1!B11</f>
        <v>I</v>
      </c>
      <c r="C17" s="33">
        <f ca="1">OFFSET(Sheet2!B$1,Sheet1!$C11,0)</f>
        <v>34478.699999999997</v>
      </c>
      <c r="D17" s="71">
        <f ca="1">(C17/C11-1)*100</f>
        <v>8.1871381728611858</v>
      </c>
      <c r="E17" s="33">
        <f ca="1">OFFSET(Sheet2!C$1,Sheet1!$C11,0)</f>
        <v>215.33333333333334</v>
      </c>
      <c r="F17" s="71">
        <f ca="1">(E17/E11-1)*100</f>
        <v>0.31055900621119736</v>
      </c>
      <c r="G17" s="33">
        <f ca="1">OFFSET(Sheet2!D$1,Sheet1!$C11,0)</f>
        <v>7426.2000000000007</v>
      </c>
      <c r="H17" s="71">
        <f ca="1">(G17/G11-1)*100</f>
        <v>8.9364823236027782</v>
      </c>
      <c r="I17" s="80">
        <f ca="1">OFFSET(Sheet2!E$1,Sheet1!$C11,0)</f>
        <v>13.158901380307777</v>
      </c>
      <c r="J17" s="71">
        <f ca="1">(I17/I11-1)*100</f>
        <v>0.76537018076694441</v>
      </c>
      <c r="K17" s="64">
        <f ca="1">IF(OFFSET(Sheet2!F$1,Sheet1!$C11,0)=0,"",OFFSET(Sheet2!F$1,Sheet1!$C11,0))</f>
        <v>61.292545454545454</v>
      </c>
      <c r="L17" s="71">
        <f ca="1">IF(K11="","",(K17/K11-1)*100)</f>
        <v>5.114880907887831</v>
      </c>
    </row>
    <row r="18" spans="1:12" ht="17.5">
      <c r="A18" s="16" t="str">
        <f>+Sheet1!B12</f>
        <v>II</v>
      </c>
      <c r="C18" s="33">
        <f ca="1">OFFSET(Sheet2!B$1,Sheet1!$C12,0)</f>
        <v>29198.400000000001</v>
      </c>
      <c r="D18" s="71">
        <f ca="1">(C18/C12-1)*100</f>
        <v>-5.5895961794025233</v>
      </c>
      <c r="E18" s="33">
        <f ca="1">OFFSET(Sheet2!C$1,Sheet1!$C12,0)</f>
        <v>216.66666666666666</v>
      </c>
      <c r="F18" s="71">
        <f ca="1">(E18/E12-1)*100</f>
        <v>1.0886469673405896</v>
      </c>
      <c r="G18" s="33">
        <f ca="1">OFFSET(Sheet2!D$1,Sheet1!$C12,0)</f>
        <v>6313.4</v>
      </c>
      <c r="H18" s="71">
        <f ca="1">(G18/G12-1)*100</f>
        <v>-4.5651056625449886</v>
      </c>
      <c r="I18" s="80">
        <f ca="1">OFFSET(Sheet2!E$1,Sheet1!$C12,0)</f>
        <v>11.569452543732719</v>
      </c>
      <c r="J18" s="71">
        <f ca="1">(I18/I12-1)*100</f>
        <v>-7.5017010876489376</v>
      </c>
      <c r="K18" s="64">
        <f ca="1">IF(OFFSET(Sheet2!F$1,Sheet1!$C12,0)=0,"",OFFSET(Sheet2!F$1,Sheet1!$C12,0))</f>
        <v>58.793196969696972</v>
      </c>
      <c r="L18" s="71">
        <f ca="1">IF(K12="","",(K18/K12-1)*100)</f>
        <v>-25.349052990259878</v>
      </c>
    </row>
    <row r="19" spans="1:12" ht="17.5">
      <c r="A19" s="16" t="str">
        <f>+Sheet1!B13</f>
        <v>III</v>
      </c>
      <c r="C19" s="33">
        <f ca="1">OFFSET(Sheet2!B$1,Sheet1!$C13,0)</f>
        <v>33373.699999999997</v>
      </c>
      <c r="D19" s="71">
        <f ca="1">(C19/C13-1)*100</f>
        <v>4.0054973136709693</v>
      </c>
      <c r="E19" s="33">
        <f ca="1">OFFSET(Sheet2!C$1,Sheet1!$C13,0)</f>
        <v>211.33333333333334</v>
      </c>
      <c r="F19" s="71">
        <f ca="1">(E19/E13-1)*100</f>
        <v>1.1164274322169154</v>
      </c>
      <c r="G19" s="33">
        <f ca="1">OFFSET(Sheet2!D$1,Sheet1!$C13,0)</f>
        <v>7048.4</v>
      </c>
      <c r="H19" s="71">
        <f ca="1">(G19/G13-1)*100</f>
        <v>5.1090101106504582</v>
      </c>
      <c r="I19" s="80">
        <f ca="1">OFFSET(Sheet2!E$1,Sheet1!$C13,0)</f>
        <v>13.231440854072821</v>
      </c>
      <c r="J19" s="71">
        <f ca="1">(I19/I13-1)*100</f>
        <v>2.7729750939585962</v>
      </c>
      <c r="K19" s="64">
        <f ca="1">IF(OFFSET(Sheet2!F$1,Sheet1!$C13,0)=0,"",OFFSET(Sheet2!F$1,Sheet1!$C13,0))</f>
        <v>57.874617604617605</v>
      </c>
      <c r="L19" s="71">
        <f ca="1">IF(K13="","",(K19/K13-1)*100)</f>
        <v>-17.961096971284274</v>
      </c>
    </row>
    <row r="20" spans="1:12" ht="17.5">
      <c r="A20" s="16" t="str">
        <f>+Sheet1!B14</f>
        <v>IV</v>
      </c>
      <c r="C20" s="33">
        <f ca="1">OFFSET(Sheet2!B$1,Sheet1!$C14,0)</f>
        <v>34512.1</v>
      </c>
      <c r="D20" s="71">
        <f ca="1">(C20/C14-1)*100</f>
        <v>-1.4728217426059231</v>
      </c>
      <c r="E20" s="33">
        <f ca="1">OFFSET(Sheet2!C$1,Sheet1!$C14,0)</f>
        <v>218</v>
      </c>
      <c r="F20" s="71">
        <f ca="1">(E20/E14-1)*100</f>
        <v>1.8691588785046731</v>
      </c>
      <c r="G20" s="33">
        <f ca="1">OFFSET(Sheet2!D$1,Sheet1!$C14,0)</f>
        <v>7515.1999999999989</v>
      </c>
      <c r="H20" s="71">
        <f ca="1">(G20/G14-1)*100</f>
        <v>0.49611532341100606</v>
      </c>
      <c r="I20" s="80">
        <f ca="1">OFFSET(Sheet2!E$1,Sheet1!$C14,0)</f>
        <v>13.975118200584408</v>
      </c>
      <c r="J20" s="71">
        <f ca="1">(I20/I14-1)*100</f>
        <v>0.38897767606351774</v>
      </c>
      <c r="K20" s="64">
        <f ca="1">IF(OFFSET(Sheet2!F$1,Sheet1!$C14,0)=0,"",OFFSET(Sheet2!F$1,Sheet1!$C14,0))</f>
        <v>68.565095959595979</v>
      </c>
      <c r="L20" s="71">
        <f ca="1">IF(K14="","",(K20/K14-1)*100)</f>
        <v>10.29525939859306</v>
      </c>
    </row>
    <row r="21" spans="1:12" ht="17.5">
      <c r="A21" s="16" t="s">
        <v>0</v>
      </c>
      <c r="C21" s="33">
        <f ca="1">SUM(C17:C20)</f>
        <v>131562.9</v>
      </c>
      <c r="D21" s="71">
        <f ca="1">(C21/C15-1)*100</f>
        <v>1.2700037717549462</v>
      </c>
      <c r="E21" s="33">
        <f ca="1">AVERAGE(E17:E20)</f>
        <v>215.33333333333334</v>
      </c>
      <c r="F21" s="71">
        <f ca="1">(E21/E15-1)*100</f>
        <v>1.0954616588419341</v>
      </c>
      <c r="G21" s="33">
        <f ca="1">SUM(G17:G20)</f>
        <v>28303.199999999997</v>
      </c>
      <c r="H21" s="71">
        <f ca="1">(G21/G15-1)*100</f>
        <v>2.487299167520618</v>
      </c>
      <c r="I21" s="80">
        <f ca="1">SUM(I17:I20)</f>
        <v>51.934912978697724</v>
      </c>
      <c r="J21" s="71">
        <f ca="1">(I21/I15-1)*100</f>
        <v>-0.81583822295371311</v>
      </c>
      <c r="K21" s="64">
        <f ca="1">AVERAGE(K17:K20)</f>
        <v>61.631363997114008</v>
      </c>
      <c r="L21" s="71">
        <f ca="1">IF(K15="","",(K21/K15-1)*100)</f>
        <v>-8.6191070127518703</v>
      </c>
    </row>
    <row r="22" spans="1:12" ht="17.5">
      <c r="A22" s="16">
        <f>+Sheet1!B16</f>
        <v>2021</v>
      </c>
      <c r="C22" s="33"/>
      <c r="D22" s="71"/>
      <c r="E22" s="33"/>
      <c r="F22" s="71"/>
      <c r="G22" s="33"/>
      <c r="H22" s="71"/>
      <c r="I22" s="80"/>
      <c r="J22" s="71"/>
      <c r="K22" s="65"/>
      <c r="L22" s="71"/>
    </row>
    <row r="23" spans="1:12" ht="17.5">
      <c r="A23" s="16" t="str">
        <f>+Sheet1!B17</f>
        <v>I</v>
      </c>
      <c r="C23" s="33">
        <f ca="1">OFFSET(Sheet2!B$1,Sheet1!$C17,0)</f>
        <v>33421</v>
      </c>
      <c r="D23" s="71">
        <f ca="1">(C23/C17-1)*100</f>
        <v>-3.0676910672386093</v>
      </c>
      <c r="E23" s="33">
        <f ca="1">OFFSET(Sheet2!C$1,Sheet1!$C17,0)</f>
        <v>218</v>
      </c>
      <c r="F23" s="71">
        <f ca="1">(E23/E17-1)*100</f>
        <v>1.2383900928792491</v>
      </c>
      <c r="G23" s="33">
        <f ca="1">OFFSET(Sheet2!D$1,Sheet1!$C17,0)</f>
        <v>7291.7001953125</v>
      </c>
      <c r="H23" s="71">
        <f ca="1">(G23/G17-1)*100</f>
        <v>-1.8111524694662262</v>
      </c>
      <c r="I23" s="80">
        <f ca="1">OFFSET(Sheet2!E$1,Sheet1!$C17,0)</f>
        <v>13.072507190949297</v>
      </c>
      <c r="J23" s="71">
        <f ca="1">(I23/I17-1)*100</f>
        <v>-0.65654561016597057</v>
      </c>
      <c r="K23" s="64">
        <f ca="1">IF(OFFSET(Sheet2!F$1,Sheet1!$C17,0)=0,"",OFFSET(Sheet2!F$1,Sheet1!$C17,0))</f>
        <v>75.794028985507239</v>
      </c>
      <c r="L23" s="71">
        <f ca="1">(K23/K17-1)*100</f>
        <v>23.65945715489346</v>
      </c>
    </row>
    <row r="24" spans="1:12" ht="17.5">
      <c r="A24" s="16" t="str">
        <f>+Sheet1!B18</f>
        <v>II</v>
      </c>
      <c r="C24" s="33">
        <f ca="1">OFFSET(Sheet2!B$1,Sheet1!$C18,0)</f>
        <v>31120.30078125</v>
      </c>
      <c r="D24" s="71">
        <f ca="1">(C24/C18-1)*100</f>
        <v>6.5822126597690156</v>
      </c>
      <c r="E24" s="33">
        <f ca="1">OFFSET(Sheet2!C$1,Sheet1!$C18,0)</f>
        <v>214.66666666666666</v>
      </c>
      <c r="F24" s="71">
        <f ca="1">(E24/E18-1)*100</f>
        <v>-0.92307692307692646</v>
      </c>
      <c r="G24" s="33">
        <f ca="1">OFFSET(Sheet2!D$1,Sheet1!$C18,0)</f>
        <v>6668.099853515625</v>
      </c>
      <c r="H24" s="71">
        <f ca="1">(G24/G18-1)*100</f>
        <v>5.6182065688159311</v>
      </c>
      <c r="I24" s="80">
        <f ca="1">OFFSET(Sheet2!E$1,Sheet1!$C18,0)</f>
        <v>11.751795727099246</v>
      </c>
      <c r="J24" s="71">
        <f ca="1">(I24/I18-1)*100</f>
        <v>1.576074431156238</v>
      </c>
      <c r="K24" s="64">
        <f ca="1">IF(OFFSET(Sheet2!F$1,Sheet1!$C18,0)=0,"",OFFSET(Sheet2!F$1,Sheet1!$C18,0))</f>
        <v>104.84177272727271</v>
      </c>
      <c r="L24" s="71">
        <f ca="1">(K24/K18-1)*100</f>
        <v>78.322966144042084</v>
      </c>
    </row>
    <row r="25" spans="1:12" ht="17.5">
      <c r="A25" s="16" t="str">
        <f>+Sheet1!B19</f>
        <v>III</v>
      </c>
      <c r="C25" s="33">
        <f ca="1">OFFSET(Sheet2!B$1,Sheet1!$C19,0)</f>
        <v>31166.7001953125</v>
      </c>
      <c r="D25" s="71">
        <f ca="1">(C25/C19-1)*100</f>
        <v>-6.6129910818623516</v>
      </c>
      <c r="E25" s="33">
        <f ca="1">OFFSET(Sheet2!C$1,Sheet1!$C19,0)</f>
        <v>210</v>
      </c>
      <c r="F25" s="71">
        <f ca="1">(E25/E19-1)*100</f>
        <v>-0.63091482649842989</v>
      </c>
      <c r="G25" s="33">
        <f ca="1">OFFSET(Sheet2!D$1,Sheet1!$C19,0)</f>
        <v>6530</v>
      </c>
      <c r="H25" s="71">
        <f ca="1">(G25/G19-1)*100</f>
        <v>-7.3548606776005832</v>
      </c>
      <c r="I25" s="80">
        <f ca="1">OFFSET(Sheet2!E$1,Sheet1!$C19,0)</f>
        <v>12.248778126717983</v>
      </c>
      <c r="J25" s="71">
        <f ca="1">(I25/I19-1)*100</f>
        <v>-7.4267250119805395</v>
      </c>
      <c r="K25" s="64">
        <f ca="1">IF(OFFSET(Sheet2!F$1,Sheet1!$C19,0)=0,"",OFFSET(Sheet2!F$1,Sheet1!$C19,0))</f>
        <v>99.679567099567109</v>
      </c>
      <c r="L25" s="71">
        <f ca="1">(K25/K19-1)*100</f>
        <v>72.233651340123998</v>
      </c>
    </row>
    <row r="26" spans="1:12" ht="17.5">
      <c r="A26" s="16" t="str">
        <f>+Sheet1!B20</f>
        <v>IV</v>
      </c>
      <c r="C26" s="33">
        <f ca="1">OFFSET(Sheet2!B$1,Sheet1!$C20,0)</f>
        <v>33277.900390625</v>
      </c>
      <c r="D26" s="71">
        <f ca="1">(C26/C20-1)*100</f>
        <v>-3.5761359331220044</v>
      </c>
      <c r="E26" s="33">
        <f ca="1">OFFSET(Sheet2!C$1,Sheet1!$C20,0)</f>
        <v>216</v>
      </c>
      <c r="F26" s="71">
        <f ca="1">(E26/E20-1)*100</f>
        <v>-0.91743119266054496</v>
      </c>
      <c r="G26" s="33">
        <f ca="1">OFFSET(Sheet2!D$1,Sheet1!$C20,0)</f>
        <v>7184.900146484375</v>
      </c>
      <c r="H26" s="71">
        <f ca="1">(G26/G20-1)*100</f>
        <v>-4.3950906631310405</v>
      </c>
      <c r="I26" s="80">
        <f ca="1">OFFSET(Sheet2!E$1,Sheet1!$C20,0)</f>
        <v>13.934776538190041</v>
      </c>
      <c r="J26" s="71">
        <f ca="1">(I26/I20-1)*100</f>
        <v>-0.28866777236045138</v>
      </c>
      <c r="K26" s="64">
        <f ca="1">IF(OFFSET(Sheet2!F$1,Sheet1!$C20,0)=0,"",OFFSET(Sheet2!F$1,Sheet1!$C20,0))</f>
        <v>77.733333333333334</v>
      </c>
      <c r="L26" s="71">
        <f ca="1">(K26/K20-1)*100</f>
        <v>13.371581043421887</v>
      </c>
    </row>
    <row r="27" spans="1:12" ht="17.5">
      <c r="A27" s="16" t="s">
        <v>0</v>
      </c>
      <c r="C27" s="33">
        <f ca="1">SUM(C23:C26)</f>
        <v>128985.9013671875</v>
      </c>
      <c r="D27" s="71">
        <f ca="1">(C27/C21-1)*100</f>
        <v>-1.9587578510450121</v>
      </c>
      <c r="E27" s="33">
        <f ca="1">AVERAGE(E23:E26)</f>
        <v>214.66666666666666</v>
      </c>
      <c r="F27" s="71">
        <f ca="1">(E27/E21-1)*100</f>
        <v>-0.30959752321981782</v>
      </c>
      <c r="G27" s="33">
        <f ca="1">SUM(G23:G26)</f>
        <v>27674.7001953125</v>
      </c>
      <c r="H27" s="71">
        <f ca="1">(G27/G21-1)*100</f>
        <v>-2.2205962742287033</v>
      </c>
      <c r="I27" s="80">
        <f ca="1">SUM(I23:I26)</f>
        <v>51.007857582956568</v>
      </c>
      <c r="J27" s="71">
        <f ca="1">(I27/I21-1)*100</f>
        <v>-1.7850331165884636</v>
      </c>
      <c r="K27" s="64">
        <f ca="1">AVERAGE(K23:K26)</f>
        <v>89.512175536420102</v>
      </c>
      <c r="L27" s="71">
        <f ca="1">(K27/K21-1)*100</f>
        <v>45.238024491250364</v>
      </c>
    </row>
    <row r="28" spans="1:12" ht="17.5">
      <c r="A28" s="16">
        <f>+Sheet1!B22</f>
        <v>2022</v>
      </c>
      <c r="C28" s="33"/>
      <c r="D28" s="71"/>
      <c r="E28" s="33"/>
      <c r="F28" s="71"/>
      <c r="G28" s="33"/>
      <c r="H28" s="71"/>
      <c r="I28" s="80"/>
      <c r="J28" s="71"/>
      <c r="K28" s="64"/>
      <c r="L28" s="71"/>
    </row>
    <row r="29" spans="1:12" ht="17.5">
      <c r="A29" s="16" t="str">
        <f>+Sheet1!B23</f>
        <v>I</v>
      </c>
      <c r="C29" s="33">
        <f ca="1">OFFSET(Sheet2!B$1,Sheet1!$C23,0)</f>
        <v>31603.7001953125</v>
      </c>
      <c r="D29" s="71">
        <f ca="1">(C29/C23-1)*100</f>
        <v>-5.4375985299287883</v>
      </c>
      <c r="E29" s="33">
        <f ca="1">OFFSET(Sheet2!C$1,Sheet1!$C23,0)</f>
        <v>218.33333333333334</v>
      </c>
      <c r="F29" s="71">
        <f ca="1">(E29/E23-1)*100</f>
        <v>0.15290519877675379</v>
      </c>
      <c r="G29" s="33">
        <f ca="1">OFFSET(Sheet2!D$1,Sheet1!$C23,0)</f>
        <v>6904.500244140625</v>
      </c>
      <c r="H29" s="71">
        <f ca="1">(G29/G23-1)*100</f>
        <v>-5.3101463417377985</v>
      </c>
      <c r="I29" s="80">
        <f ca="1">OFFSET(Sheet2!E$1,Sheet1!$C23,0)</f>
        <v>13.108837543274703</v>
      </c>
      <c r="J29" s="71">
        <f ca="1">(I29/I23-1)*100</f>
        <v>0.27791418887539443</v>
      </c>
      <c r="K29" s="64">
        <f ca="1">IF(OFFSET(Sheet2!F$1,Sheet1!$C23,0)=0,"",OFFSET(Sheet2!F$1,Sheet1!$C23,0))</f>
        <v>88.741680814354709</v>
      </c>
      <c r="L29" s="71">
        <f ca="1">(K29/K23-1)*100</f>
        <v>17.082680525299978</v>
      </c>
    </row>
    <row r="30" spans="1:12" ht="17.5">
      <c r="A30" s="16" t="str">
        <f>+Sheet1!B24</f>
        <v>II</v>
      </c>
      <c r="C30" s="33">
        <f ca="1">OFFSET(Sheet2!B$1,Sheet1!$C24,0)</f>
        <v>30618.6005859375</v>
      </c>
      <c r="D30" s="71">
        <f ca="1">(C30/C24-1)*100</f>
        <v>-1.6121315755880272</v>
      </c>
      <c r="E30" s="33">
        <f ca="1">OFFSET(Sheet2!C$1,Sheet1!$C24,0)</f>
        <v>217.33333333333334</v>
      </c>
      <c r="F30" s="71">
        <f ca="1">(E30/E24-1)*100</f>
        <v>1.2422360248447228</v>
      </c>
      <c r="G30" s="33">
        <f ca="1">OFFSET(Sheet2!D$1,Sheet1!$C24,0)</f>
        <v>6638.500244140625</v>
      </c>
      <c r="H30" s="71">
        <f ca="1">(G30/G24-1)*100</f>
        <v>-0.44389871215552157</v>
      </c>
      <c r="I30" s="80">
        <f ca="1">OFFSET(Sheet2!E$1,Sheet1!$C24,0)</f>
        <v>12.373351564292228</v>
      </c>
      <c r="J30" s="71">
        <f ca="1">(I30/I24-1)*100</f>
        <v>5.289028601473178</v>
      </c>
      <c r="K30" s="64">
        <f ca="1">IF(OFFSET(Sheet2!F$1,Sheet1!$C24,0)=0,"",OFFSET(Sheet2!F$1,Sheet1!$C24,0))</f>
        <v>101.09806637806639</v>
      </c>
      <c r="L30" s="71">
        <f ca="1">(K30/K24-1)*100</f>
        <v>-3.5708155745753256</v>
      </c>
    </row>
    <row r="31" spans="1:12" ht="17.5">
      <c r="A31" s="16" t="str">
        <f>+Sheet1!B25</f>
        <v>III</v>
      </c>
      <c r="C31" s="33">
        <f ca="1">OFFSET(Sheet2!B$1,Sheet1!$C25,0)</f>
        <v>30966.8994140625</v>
      </c>
      <c r="D31" s="71">
        <f ca="1">(C31/C25-1)*100</f>
        <v>-0.64107133574586861</v>
      </c>
      <c r="E31" s="33">
        <f ca="1">OFFSET(Sheet2!C$1,Sheet1!$C25,0)</f>
        <v>211.33333333333334</v>
      </c>
      <c r="F31" s="71">
        <f ca="1">(E31/E25-1)*100</f>
        <v>0.63492063492063266</v>
      </c>
      <c r="G31" s="33">
        <f ca="1">OFFSET(Sheet2!D$1,Sheet1!$C25,0)</f>
        <v>6533.7999267578125</v>
      </c>
      <c r="H31" s="71">
        <f ca="1">(G31/G25-1)*100</f>
        <v>5.8191833963427975E-2</v>
      </c>
      <c r="I31" s="80">
        <f ca="1">OFFSET(Sheet2!E$1,Sheet1!$C25,0)</f>
        <v>12.363192234393832</v>
      </c>
      <c r="J31" s="71">
        <f ca="1">(I31/I25-1)*100</f>
        <v>0.93408588589158903</v>
      </c>
      <c r="K31" s="64">
        <f ca="1">IF(OFFSET(Sheet2!F$1,Sheet1!$C25,0)=0,"",OFFSET(Sheet2!F$1,Sheet1!$C25,0))</f>
        <v>106.34055314009662</v>
      </c>
      <c r="L31" s="71">
        <f ca="1">(K31/K25-1)*100</f>
        <v>6.6823986443240058</v>
      </c>
    </row>
    <row r="32" spans="1:12" ht="17.5">
      <c r="A32" s="16" t="str">
        <f>+Sheet1!B26</f>
        <v>IV</v>
      </c>
      <c r="B32" s="94"/>
      <c r="C32" s="33">
        <f ca="1">OFFSET(Sheet2!B$1,Sheet1!$C26,0)</f>
        <v>32132.400390625</v>
      </c>
      <c r="D32" s="71">
        <f ca="1">(C32/C26-1)*100</f>
        <v>-3.4422243788033824</v>
      </c>
      <c r="E32" s="33">
        <f ca="1">OFFSET(Sheet2!C$1,Sheet1!$C26,0)</f>
        <v>215.66666666666666</v>
      </c>
      <c r="F32" s="71">
        <f ca="1">(E32/E26-1)*100</f>
        <v>-0.15432098765432167</v>
      </c>
      <c r="G32" s="33">
        <f ca="1">OFFSET(Sheet2!D$1,Sheet1!$C26,0)</f>
        <v>6918.800048828125</v>
      </c>
      <c r="H32" s="71">
        <f ca="1">(G32/G26-1)*100</f>
        <v>-3.7036018905072021</v>
      </c>
      <c r="I32" s="80">
        <f ca="1">OFFSET(Sheet2!E$1,Sheet1!$C26,0)</f>
        <v>13.028037096456821</v>
      </c>
      <c r="J32" s="71">
        <f ca="1">(I32/I26-1)*100</f>
        <v>-6.5070253494785906</v>
      </c>
      <c r="K32" s="64">
        <f ca="1">IF(OFFSET(Sheet2!F$1,Sheet1!$C26,0)=0,"",OFFSET(Sheet2!F$1,Sheet1!$C26,0))</f>
        <v>87.023809523809518</v>
      </c>
      <c r="L32" s="71">
        <f ca="1">(K32/K26-1)*100</f>
        <v>11.951727517765253</v>
      </c>
    </row>
    <row r="33" spans="1:12" ht="17.5">
      <c r="A33" s="16" t="s">
        <v>0</v>
      </c>
      <c r="B33" s="94"/>
      <c r="C33" s="33">
        <f ca="1">SUM(C29:C32)</f>
        <v>125321.6005859375</v>
      </c>
      <c r="D33" s="71">
        <f ca="1">(C33/C27-1)*100</f>
        <v>-2.840853723089265</v>
      </c>
      <c r="E33" s="33">
        <f ca="1">AVERAGE(E29:E32)</f>
        <v>215.66666666666666</v>
      </c>
      <c r="F33" s="71">
        <f ca="1">(E33/E27-1)*100</f>
        <v>0.46583850931676274</v>
      </c>
      <c r="G33" s="33">
        <f ca="1">SUM(G29:G32)</f>
        <v>26995.600463867188</v>
      </c>
      <c r="H33" s="71">
        <f ca="1">(G33/G27-1)*100</f>
        <v>-2.4538648175142175</v>
      </c>
      <c r="I33" s="80">
        <f ca="1">SUM(I29:I32)</f>
        <v>50.87341843841758</v>
      </c>
      <c r="J33" s="71">
        <f ca="1">(I33/I27-1)*100</f>
        <v>-0.26356555815021387</v>
      </c>
      <c r="K33" s="64">
        <f ca="1">AVERAGE(K29:K32)</f>
        <v>95.801027464081812</v>
      </c>
      <c r="L33" s="71">
        <f ca="1">(K33/K27-1)*100</f>
        <v>7.0256944264559307</v>
      </c>
    </row>
    <row r="34" spans="1:12" ht="17.5">
      <c r="A34" s="16">
        <f>+Sheet1!B28</f>
        <v>2023</v>
      </c>
      <c r="B34" s="94"/>
      <c r="C34" s="33"/>
      <c r="D34" s="71"/>
      <c r="E34" s="33"/>
      <c r="F34" s="71"/>
      <c r="G34" s="33"/>
      <c r="H34" s="71"/>
      <c r="I34" s="80"/>
      <c r="J34" s="71"/>
      <c r="K34" s="64"/>
      <c r="L34" s="71"/>
    </row>
    <row r="35" spans="1:12" ht="17.5">
      <c r="A35" s="16" t="s">
        <v>11</v>
      </c>
      <c r="B35" s="94"/>
      <c r="C35" s="33">
        <f ca="1">OFFSET(Sheet2!B$1,Sheet1!$C29,0)</f>
        <v>32571.30078125</v>
      </c>
      <c r="D35" s="71">
        <f ca="1">(C35/C29-1)*100</f>
        <v>3.0616686652438663</v>
      </c>
      <c r="E35" s="33">
        <f ca="1">OFFSET(Sheet2!C$1,Sheet1!$C29,0)</f>
        <v>217</v>
      </c>
      <c r="F35" s="71">
        <f ca="1">(E35/E29-1)*100</f>
        <v>-0.61068702290076882</v>
      </c>
      <c r="G35" s="33">
        <f ca="1">OFFSET(Sheet2!D$1,Sheet1!$C29,0)</f>
        <v>7071.39990234375</v>
      </c>
      <c r="H35" s="71">
        <f ca="1">(G35/G29-1)*100</f>
        <v>2.4172590672983274</v>
      </c>
      <c r="I35" s="80">
        <f ca="1">OFFSET(Sheet2!E$1,Sheet1!$C29,0)</f>
        <v>12.94725471658556</v>
      </c>
      <c r="J35" s="71">
        <f ca="1">(I35/I29-1)*100</f>
        <v>-1.2326251367119956</v>
      </c>
      <c r="K35" s="64">
        <f ca="1">IF(OFFSET(Sheet2!F$1,Sheet1!$C29,0)=0,"",OFFSET(Sheet2!F$1,Sheet1!$C29,0))</f>
        <v>78.074018633540376</v>
      </c>
      <c r="L35" s="71">
        <f ca="1">IF(OFFSET(Sheet2!F$1,Sheet1!$C26,0)="",(OFFSET(Sheet2!N$1,Sheet1!$C29,0)/OFFSET(Sheet2!N$1,Sheet1!$C23,0)-1)*100,(OFFSET(Sheet2!N$1,Sheet1!$C29,0)/K29-1)*100)</f>
        <v>-12.025556329814846</v>
      </c>
    </row>
    <row r="36" spans="1:12" ht="17.5">
      <c r="A36" s="16" t="s">
        <v>12</v>
      </c>
      <c r="C36" s="33">
        <f ca="1">IF(OFFSET(Sheet2!B$1,Sheet1!$C$30,0)=" ",OFFSET(Sheet2!I$1,Sheet1!$C30,0),OFFSET(Sheet2!B$1,Sheet1!$C30,0))</f>
        <v>30782.1005859375</v>
      </c>
      <c r="D36" s="71">
        <f ca="1">(C36/C30-1)*100</f>
        <v>0.53398913363498224</v>
      </c>
      <c r="E36" s="33">
        <f ca="1">OFFSET(Sheet2!C$1,Sheet1!$C30,0)</f>
        <v>214.33333333333334</v>
      </c>
      <c r="F36" s="71">
        <f ca="1">(E36/E30-1)*100</f>
        <v>-1.3803680981595123</v>
      </c>
      <c r="G36" s="33">
        <f ca="1">IF(OFFSET(Sheet2!D$1,Sheet1!$C$30,0)=" ",OFFSET(Sheet2!K$1,Sheet1!$C30,0),OFFSET(Sheet2!D$1,Sheet1!$C30,0))</f>
        <v>6593.2001953125</v>
      </c>
      <c r="H36" s="71">
        <f ca="1">(G36/G30-1)*100</f>
        <v>-0.68238377889807689</v>
      </c>
      <c r="I36" s="80">
        <f ca="1">OFFSET(Sheet2!E$1,Sheet1!$C30,0)</f>
        <v>11.828528682120359</v>
      </c>
      <c r="J36" s="71">
        <f ca="1">(I36/I30-1)*100</f>
        <v>-4.4031956850248406</v>
      </c>
      <c r="K36" s="64">
        <f ca="1">IF(OFFSET(Sheet2!F$1,Sheet1!$C30,0)=0,"",OFFSET(Sheet2!F$1,Sheet1!$C30,0))</f>
        <v>80.192348484848495</v>
      </c>
      <c r="L36" s="71">
        <f ca="1">IF(OFFSET(Sheet2!F$1,Sheet1!$C27,0)="",(OFFSET(Sheet2!N$1,Sheet1!$C30,0)/OFFSET(Sheet2!N$1,Sheet1!$C24,0)-1)*100,(OFFSET(Sheet2!N$1,Sheet1!$C30,0)/K30-1)*100)</f>
        <v>-20.682492581602375</v>
      </c>
    </row>
    <row r="37" spans="1:12" ht="17.5">
      <c r="A37" s="16" t="s">
        <v>13</v>
      </c>
      <c r="C37" s="33">
        <f ca="1">IF(OFFSET(Sheet2!B$1,Sheet1!$C$32,0)=" ",OFFSET(Sheet2!I$1,Sheet1!$C31,0),OFFSET(Sheet2!B$1,Sheet1!$C31,0))</f>
        <v>31230.0009765625</v>
      </c>
      <c r="D37" s="71">
        <f ca="1">(C37/C31-1)*100</f>
        <v>0.84962191074422488</v>
      </c>
      <c r="E37" s="33">
        <f ca="1">IF(OFFSET(Sheet2!C$1,Sheet1!$C$32,0)=" ",OFFSET(Sheet2!J$1,Sheet1!$C31,0),OFFSET(Sheet2!C$1,Sheet1!$C31,0))</f>
        <v>208</v>
      </c>
      <c r="F37" s="71">
        <f ca="1">(E37/E31-1)*100</f>
        <v>-1.5772870662460581</v>
      </c>
      <c r="G37" s="33">
        <f ca="1">IF(OFFSET(Sheet2!D$1,Sheet1!$C$32,0)=" ",OFFSET(Sheet2!K$1,Sheet1!$C31,0),OFFSET(Sheet2!D$1,Sheet1!$C31,0))</f>
        <v>6489.699951171875</v>
      </c>
      <c r="H37" s="71">
        <f ca="1">(G37/G31-1)*100</f>
        <v>-0.67495142306600586</v>
      </c>
      <c r="I37" s="80">
        <f ca="1">OFFSET(Sheet2!E$1,Sheet1!$C31,0)</f>
        <v>12.090575322806224</v>
      </c>
      <c r="J37" s="71">
        <f ca="1">(I37/I31-1)*100</f>
        <v>-2.2050689370436305</v>
      </c>
      <c r="K37" s="66">
        <f ca="1">IF(OFFSET(Sheet2!F$1,Sheet1!$C31,0)="",OFFSET(Sheet2!L$1,Sheet1!$C31,0)&amp;"-"&amp;OFFSET(Sheet2!M$1,Sheet1!$C31,0),OFFSET(Sheet2!F$1,Sheet1!$C31,0))</f>
        <v>93.69516666666668</v>
      </c>
      <c r="L37" s="71">
        <f ca="1">IF(OFFSET(Sheet2!F$1,Sheet1!$C28,0)="",(OFFSET(Sheet2!N$1,Sheet1!$C31,0)/OFFSET(Sheet2!N$1,Sheet1!$C25,0)-1)*100,(OFFSET(Sheet2!N$1,Sheet1!$C31,0)/K31-1)*100)</f>
        <v>-11.88640210645101</v>
      </c>
    </row>
    <row r="38" spans="1:12" ht="17.5">
      <c r="A38" s="16" t="s">
        <v>14</v>
      </c>
      <c r="C38" s="33">
        <f ca="1">IF(OFFSET(Sheet2!B$1,Sheet1!$C$32,0)=" ",OFFSET(Sheet2!I$1,Sheet1!$C32,0),OFFSET(Sheet2!B$1,Sheet1!$C32,0))</f>
        <v>33387.400390625</v>
      </c>
      <c r="D38" s="71">
        <f ca="1">(C38/C32-1)*100</f>
        <v>3.905715056277459</v>
      </c>
      <c r="E38" s="33">
        <f ca="1">IF(OFFSET(Sheet2!C$1,Sheet1!$C$32,0)=" ",OFFSET(Sheet2!J$1,Sheet1!$C32,0),OFFSET(Sheet2!C$1,Sheet1!$C32,0))</f>
        <v>214.66666666666666</v>
      </c>
      <c r="F38" s="71">
        <f ca="1">(E38/E32-1)*100</f>
        <v>-0.46367851622874934</v>
      </c>
      <c r="G38" s="33">
        <f ca="1">IF(OFFSET(Sheet2!D$1,Sheet1!$C$32,0)=" ",OFFSET(Sheet2!K$1,Sheet1!$C32,0),OFFSET(Sheet2!D$1,Sheet1!$C32,0))</f>
        <v>7148.10009765625</v>
      </c>
      <c r="H38" s="71">
        <f ca="1">(G38/G32-1)*100</f>
        <v>3.3141592069417136</v>
      </c>
      <c r="I38" s="80">
        <f ca="1">OFFSET(Sheet2!E$1,Sheet1!$C32,0)</f>
        <v>13.042332911244975</v>
      </c>
      <c r="J38" s="71">
        <f ca="1">(I38/I32-1)*100</f>
        <v>0.10973114892374181</v>
      </c>
      <c r="K38" s="66">
        <f ca="1">IF(OFFSET(Sheet2!F$1,Sheet1!$C32,0)="",OFFSET(Sheet2!L$1,Sheet1!$C32,0)&amp;"-"&amp;OFFSET(Sheet2!M$1,Sheet1!$C32,0),OFFSET(Sheet2!F$1,Sheet1!$C32,0))</f>
        <v>74.430550505050505</v>
      </c>
      <c r="L38" s="71">
        <f ca="1">IF(OFFSET(Sheet2!F$1,Sheet1!$C28,0)="",(OFFSET(Sheet2!N$1,Sheet1!$C32,0)/OFFSET(Sheet2!N$1,Sheet1!$C26,0)-1)*100,(OFFSET(Sheet2!N$1,Sheet1!$C32,0)/K32-1)*100)</f>
        <v>-14.467938404964364</v>
      </c>
    </row>
    <row r="39" spans="1:12" ht="17.5">
      <c r="A39" s="16" t="s">
        <v>0</v>
      </c>
      <c r="B39" s="94"/>
      <c r="C39" s="33">
        <f ca="1">SUM(C35:C38)</f>
        <v>127970.802734375</v>
      </c>
      <c r="D39" s="71">
        <f ca="1">(C39/C33-1)*100</f>
        <v>2.1139230077267035</v>
      </c>
      <c r="E39" s="33">
        <f ca="1">AVERAGE(E35:E38)</f>
        <v>213.5</v>
      </c>
      <c r="F39" s="71">
        <f ca="1">(E39/E33-1)*100</f>
        <v>-1.0046367851622828</v>
      </c>
      <c r="G39" s="33">
        <f ca="1">SUM(G35:G38)</f>
        <v>27302.400146484375</v>
      </c>
      <c r="H39" s="71">
        <f ca="1">(G39/G33-1)*100</f>
        <v>1.1364803054772832</v>
      </c>
      <c r="I39" s="80">
        <f ca="1">SUM(I35:I38)</f>
        <v>49.908691632757119</v>
      </c>
      <c r="J39" s="71">
        <f ca="1">(I39/I33-1)*100</f>
        <v>-1.8963278570089948</v>
      </c>
      <c r="K39" s="64">
        <f ca="1">AVERAGE(K35:K38)</f>
        <v>81.598021072526521</v>
      </c>
      <c r="L39" s="71">
        <f ca="1">IF(OFFSET(Sheet2!F$1,Sheet1!$C22,0)="",(OFFSET(Sheet2!Q$1,Sheet1!$C32,0)/OFFSET(Sheet2!Q$1,Sheet1!$C26,0)-1)*100,(OFFSET(Sheet2!Q$1,Sheet1!$C32,0)/K33-1)*100)</f>
        <v>-14.583333333333337</v>
      </c>
    </row>
    <row r="40" spans="1:12" ht="17.5">
      <c r="A40" s="16">
        <f>+Sheet1!B34</f>
        <v>2024</v>
      </c>
      <c r="D40" s="71"/>
      <c r="E40" s="114"/>
      <c r="F40" s="71"/>
      <c r="G40" s="34"/>
      <c r="H40" s="71"/>
      <c r="I40" s="81"/>
      <c r="J40" s="71"/>
      <c r="K40" s="44"/>
      <c r="L40" s="71"/>
    </row>
    <row r="41" spans="1:12" ht="17.5">
      <c r="A41" s="16" t="s">
        <v>11</v>
      </c>
      <c r="C41" s="33">
        <f ca="1">OFFSET(Sheet2!I$1,Sheet1!$C35,0)</f>
        <v>32810.099609375</v>
      </c>
      <c r="D41" s="71">
        <f ca="1">(C41/C35-1)*100</f>
        <v>0.73315717333115593</v>
      </c>
      <c r="E41" s="33">
        <f ca="1">OFFSET(Sheet2!J$1,Sheet1!$C35,0)</f>
        <v>216.21086149695117</v>
      </c>
      <c r="F41" s="71">
        <f ca="1">(E41/E35-1)*100</f>
        <v>-0.36365829633586699</v>
      </c>
      <c r="G41" s="33">
        <f ca="1">OFFSET(Sheet2!K$1,Sheet1!$C35,0)</f>
        <v>7093.89990234375</v>
      </c>
      <c r="H41" s="71">
        <f ca="1">IF(G41=0,"",(G41/G35-1)*100)</f>
        <v>0.31818310816422724</v>
      </c>
      <c r="I41" s="80">
        <f ca="1">OFFSET(Sheet2!E$1,Sheet1!$C35,0)</f>
        <v>12.754980021967148</v>
      </c>
      <c r="J41" s="71">
        <f ca="1">IF(I41=0,"",(I41/I35-1)*100)</f>
        <v>-1.4850614962576336</v>
      </c>
      <c r="K41" s="66">
        <f ca="1">IF(OFFSET(Sheet2!F$1,Sheet1!$C35,0)="",OFFSET(Sheet2!L$1,Sheet1!$C35,0)&amp;"-"&amp;OFFSET(Sheet2!M$1,Sheet1!$C35,0),OFFSET(Sheet2!F$1,Sheet1!$C35,0))</f>
        <v>76.320331890331886</v>
      </c>
      <c r="L41" s="71">
        <f ca="1">IF(OFFSET(Sheet2!F$1,Sheet1!$C32,0)="",(OFFSET(Sheet2!N$1,Sheet1!$C35,0)/OFFSET(Sheet2!N$1,Sheet1!$C29,0)-1)*100,(OFFSET(Sheet2!N$1,Sheet1!$C35,0)/K35-1)*100)</f>
        <v>-2.2466099020383434</v>
      </c>
    </row>
    <row r="42" spans="1:12" ht="17.5">
      <c r="A42" s="16" t="s">
        <v>12</v>
      </c>
      <c r="B42" t="s">
        <v>103</v>
      </c>
      <c r="C42" s="33">
        <f ca="1">OFFSET(Sheet2!I$1,Sheet1!$C36,0)</f>
        <v>31353.793217095619</v>
      </c>
      <c r="D42" s="71">
        <f ca="1">(C42/C36-1)*100</f>
        <v>1.8572242318618537</v>
      </c>
      <c r="E42" s="33">
        <f ca="1">OFFSET(Sheet2!J$1,Sheet1!$C36,0)</f>
        <v>214.23275416445296</v>
      </c>
      <c r="F42" s="71">
        <f ca="1">(E42/E36-1)*100</f>
        <v>-4.6926517362544384E-2</v>
      </c>
      <c r="G42" s="33">
        <f ca="1">OFFSET(Sheet2!K$1,Sheet1!$C36,0)</f>
        <v>6717.0094744011385</v>
      </c>
      <c r="H42" s="71">
        <f ca="1">IF(G42=0,"",(G42/G36-1)*100)</f>
        <v>1.8778328493143981</v>
      </c>
      <c r="I42" s="80">
        <f ca="1">OFFSET(Sheet2!E$1,Sheet1!$C36,0)</f>
        <v>11.825104228817747</v>
      </c>
      <c r="J42" s="71">
        <f ca="1">IF(I42=0,"",(I42/I36-1)*100)</f>
        <v>-2.8950796795113032E-2</v>
      </c>
      <c r="K42" s="66" t="str">
        <f ca="1">IF(OFFSET(Sheet2!F$1,Sheet1!$C36,0)="",OFFSET(Sheet2!L$1,Sheet1!$C36,0)&amp;"-"&amp;OFFSET(Sheet2!M$1,Sheet1!$C36,0),OFFSET(Sheet2!F$1,Sheet1!$C36,0))</f>
        <v>87-88</v>
      </c>
      <c r="L42" s="71">
        <f ca="1">IF(OFFSET(Sheet2!F$1,Sheet1!$C34,0)="",(OFFSET(Sheet2!N$1,Sheet1!$C36,0)/OFFSET(Sheet2!N$1,Sheet1!$C30,0)-1)*100,(OFFSET(Sheet2!N$1,Sheet1!$C36,0)/K36-1)*100)</f>
        <v>9.1158498565905965</v>
      </c>
    </row>
    <row r="43" spans="1:12" ht="17.5">
      <c r="A43" s="16" t="s">
        <v>13</v>
      </c>
      <c r="B43" t="s">
        <v>104</v>
      </c>
      <c r="C43" s="33">
        <f ca="1">OFFSET(Sheet2!I$1,Sheet1!$C37,0)</f>
        <v>32014.754203210476</v>
      </c>
      <c r="D43" s="71">
        <f ca="1">IF(C43=0,"",(C43/C37-1)*100)</f>
        <v>2.5128184505563089</v>
      </c>
      <c r="E43" s="33">
        <f ca="1">OFFSET(Sheet2!J$1,Sheet1!$C37,0)</f>
        <v>208.02610479212757</v>
      </c>
      <c r="F43" s="71">
        <f ca="1">(E43/E37-1)*100</f>
        <v>1.2550380830567143E-2</v>
      </c>
      <c r="G43" s="33">
        <f ca="1">OFFSET(Sheet2!K$1,Sheet1!$C37,0)</f>
        <v>6659.9046127712691</v>
      </c>
      <c r="H43" s="71">
        <f ca="1">IF(G43=0,"",(G43/G37-1)*100)</f>
        <v>2.6226892287779746</v>
      </c>
      <c r="I43" s="80">
        <f ca="1">OFFSET(Sheet2!E$1,Sheet1!$C37,0)</f>
        <v>12.064783834552788</v>
      </c>
      <c r="J43" s="71">
        <f ca="1">IF(I43=0,"",(I43/I37-1)*100)</f>
        <v>-0.2133189493868537</v>
      </c>
      <c r="K43" s="66" t="str">
        <f ca="1">IF(OFFSET(Sheet2!F$1,Sheet1!$C37,0)="",OFFSET(Sheet2!L$1,Sheet1!$C37,0)&amp;"-"&amp;OFFSET(Sheet2!M$1,Sheet1!$C37,0),OFFSET(Sheet2!F$1,Sheet1!$C37,0))</f>
        <v>98-100</v>
      </c>
      <c r="L43" s="71">
        <f ca="1">IF(OFFSET(Sheet2!F$1,Sheet1!$C34,0)="",(OFFSET(Sheet2!N$1,Sheet1!$C37,0)/OFFSET(Sheet2!N$1,Sheet1!$C31,0)-1)*100,(OFFSET(Sheet2!N$1,Sheet1!$C37,0)/K37-1)*100)</f>
        <v>5.6563500533617805</v>
      </c>
    </row>
    <row r="44" spans="1:12" ht="17.5">
      <c r="A44" s="16" t="s">
        <v>14</v>
      </c>
      <c r="C44" s="33">
        <f ca="1">OFFSET(Sheet2!I$1,Sheet1!$C38,0)</f>
        <v>34536.152705708897</v>
      </c>
      <c r="D44" s="71">
        <f ca="1">IF(C44=0,"",(C44/C38-1)*100)</f>
        <v>3.4406761282512521</v>
      </c>
      <c r="E44" s="33">
        <f ca="1">OFFSET(Sheet2!J$1,Sheet1!$C38,0)</f>
        <v>214.48044595078139</v>
      </c>
      <c r="F44" s="71">
        <f ca="1">(E44/E38-1)*100</f>
        <v>-8.6748780691892069E-2</v>
      </c>
      <c r="G44" s="33">
        <f ca="1">OFFSET(Sheet2!K$1,Sheet1!$C38,0)</f>
        <v>7407.3294337447296</v>
      </c>
      <c r="H44" s="71">
        <f ca="1">IF(G44=0,"",(G44/G38-1)*100)</f>
        <v>3.6265487688606601</v>
      </c>
      <c r="I44" s="80">
        <f ca="1">OFFSET(Sheet2!E$1,Sheet1!$C38,0)</f>
        <v>13.166057722066091</v>
      </c>
      <c r="J44" s="71">
        <f ca="1">IF(I44=0,"",(I44/I38-1)*100)</f>
        <v>0.94864018318718824</v>
      </c>
      <c r="K44" s="66" t="str">
        <f ca="1">IF(OFFSET(Sheet2!F$1,Sheet1!$C38,0)="",OFFSET(Sheet2!L$1,Sheet1!$C38,0)&amp;"-"&amp;OFFSET(Sheet2!M$1,Sheet1!$C38,0),OFFSET(Sheet2!F$1,Sheet1!$C38,0))</f>
        <v>78-81</v>
      </c>
      <c r="L44" s="71">
        <f ca="1">IF(OFFSET(Sheet2!F$1,Sheet1!$C34,0)="",(OFFSET(Sheet2!N$1,Sheet1!$C38,0)/OFFSET(Sheet2!N$1,Sheet1!$C32,0)-1)*100,(OFFSET(Sheet2!N$1,Sheet1!$C38,0)/K38-1)*100)</f>
        <v>6.8117694478033064</v>
      </c>
    </row>
    <row r="45" spans="1:12" ht="17.5">
      <c r="A45" s="16" t="s">
        <v>0</v>
      </c>
      <c r="B45" s="94"/>
      <c r="C45" s="33">
        <f ca="1">SUM(C41:C44)</f>
        <v>130714.79973539</v>
      </c>
      <c r="D45" s="71">
        <f ca="1">IF(C45=0,"",(C45/C39-1)*100)</f>
        <v>2.1442367652491967</v>
      </c>
      <c r="E45" s="33">
        <f ca="1">AVERAGE(E41:E44)</f>
        <v>213.23754160107825</v>
      </c>
      <c r="F45" s="71">
        <f ca="1">IF(E45=0,"",(E45/E39-1)*100)</f>
        <v>-0.12293133438957549</v>
      </c>
      <c r="G45" s="33">
        <f ca="1">SUM(G41:G44)</f>
        <v>27878.143423260888</v>
      </c>
      <c r="H45" s="71">
        <f ca="1">IF(G45=0,"",(G45/G39-1)*100)</f>
        <v>2.1087643345914842</v>
      </c>
      <c r="I45" s="80">
        <f ca="1">SUM(I41:I44)</f>
        <v>49.81092580740377</v>
      </c>
      <c r="J45" s="71">
        <f ca="1">IF(I45=0,"",(I45/I39-1)*100)</f>
        <v>-0.19588937749107638</v>
      </c>
      <c r="K45" s="66" t="str">
        <f ca="1">IF(OFFSET(Sheet2!F$1,Sheet1!$C34,0)="",OFFSET(Sheet2!O$1,Sheet1!$C38,0)&amp;"-"&amp;OFFSET(Sheet2!P$1,Sheet1!$C38,0),AVERAGE(K41:K44))</f>
        <v>83-88</v>
      </c>
      <c r="L45" s="71">
        <f ca="1">IF(OFFSET(Sheet2!F$1,Sheet1!$C28,0)="",(OFFSET(Sheet2!Q$1,Sheet1!$C38,0)/OFFSET(Sheet2!Q$1,Sheet1!$C32,0)-1)*100,(OFFSET(Sheet2!Q$1,Sheet1!$C38,0)/K39-1)*100)</f>
        <v>4.2682926829268331</v>
      </c>
    </row>
    <row r="46" spans="1:12" s="17" customFormat="1" ht="17.5">
      <c r="A46" s="16">
        <f>+Sheet1!B40</f>
        <v>2025</v>
      </c>
      <c r="B46" s="94"/>
      <c r="C46" s="34"/>
      <c r="D46" s="71"/>
      <c r="E46" s="34"/>
      <c r="F46" s="71"/>
      <c r="G46" s="34"/>
      <c r="H46" s="71"/>
      <c r="I46" s="81"/>
      <c r="J46" s="71"/>
      <c r="K46" s="66"/>
      <c r="L46" s="71"/>
    </row>
    <row r="47" spans="1:12" s="17" customFormat="1" ht="17.5">
      <c r="A47" s="16" t="s">
        <v>11</v>
      </c>
      <c r="B47" s="94"/>
      <c r="C47" s="33">
        <f ca="1">OFFSET(Sheet2!I$1,Sheet1!$C41,0)</f>
        <v>32870.09297437522</v>
      </c>
      <c r="D47" s="71">
        <f ca="1">IF(C47=0,"",(C47/C41-1)*100)</f>
        <v>0.18285029827547206</v>
      </c>
      <c r="E47" s="33">
        <f ca="1">OFFSET(Sheet2!J$1,Sheet1!$C41,0)</f>
        <v>217.39691854168942</v>
      </c>
      <c r="F47" s="71">
        <f ca="1">IF(E47=0,"",(E47/E41-1)*100)</f>
        <v>0.54856496871920069</v>
      </c>
      <c r="G47" s="33">
        <f ca="1">OFFSET(Sheet2!K$1,Sheet1!$C41,0)</f>
        <v>7145.8569248080075</v>
      </c>
      <c r="H47" s="71">
        <f ca="1">IF(G47=0,"",(G47/G41-1)*100)</f>
        <v>0.73241831967618687</v>
      </c>
      <c r="I47" s="80">
        <f ca="1">OFFSET(Sheet2!E$1,Sheet1!$C41,0)</f>
        <v>12.768529797907247</v>
      </c>
      <c r="J47" s="71">
        <f ca="1">IF(I47=0,"",(I47/I41-1)*100)</f>
        <v>0.10623125960811386</v>
      </c>
      <c r="K47" s="66" t="str">
        <f ca="1">IF(OFFSET(Sheet2!F$1,Sheet1!$C41,0)="",OFFSET(Sheet2!L$1,Sheet1!$C41,0)&amp;"-"&amp;OFFSET(Sheet2!M$1,Sheet1!$C41,0),OFFSET(Sheet2!F$1,Sheet1!$C41,0))</f>
        <v>74-78</v>
      </c>
      <c r="L47" s="71">
        <f ca="1">IF(OFFSET(Sheet2!F$1,Sheet1!$C34,0)="",(OFFSET(Sheet2!N$1,Sheet1!$C41,0)/OFFSET(Sheet2!N$1,Sheet1!$C35,0)-1)*100,(OFFSET(Sheet2!N$1,Sheet1!$C41,0)/K41-1)*100)</f>
        <v>-0.41928721174003813</v>
      </c>
    </row>
    <row r="48" spans="1:12" s="17" customFormat="1" ht="17.5">
      <c r="A48" s="16" t="s">
        <v>12</v>
      </c>
      <c r="B48" s="94"/>
      <c r="C48" s="33">
        <f ca="1">OFFSET(Sheet2!I$1,Sheet1!$C42,0)</f>
        <v>31472.031410948366</v>
      </c>
      <c r="D48" s="71">
        <f ca="1">IF(C48=0,"",(C48/C42-1)*100)</f>
        <v>0.37710969461990373</v>
      </c>
      <c r="E48" s="33">
        <f ca="1">OFFSET(Sheet2!J$1,Sheet1!$C42,0)</f>
        <v>215.21402388884655</v>
      </c>
      <c r="F48" s="71">
        <f ca="1">IF(E48=0,"",(E48/E42-1)*100)</f>
        <v>0.45803907447332648</v>
      </c>
      <c r="G48" s="33">
        <f ca="1">OFFSET(Sheet2!K$1,Sheet1!$C42,0)</f>
        <v>6773.2225199063705</v>
      </c>
      <c r="H48" s="71">
        <f ca="1">IF(G48=0,"",(G48/G42-1)*100)</f>
        <v>0.83687607884821436</v>
      </c>
      <c r="I48" s="80">
        <f ca="1">OFFSET(Sheet2!E$1,Sheet1!$C42,0)</f>
        <v>11.871105850862145</v>
      </c>
      <c r="J48" s="71">
        <f ca="1">IF(I48=0,"",(I48/I42-1)*100)</f>
        <v>0.38901663067198999</v>
      </c>
      <c r="K48" s="66" t="str">
        <f ca="1">IF(OFFSET(Sheet2!F$1,Sheet1!$C42,0)="",OFFSET(Sheet2!L$1,Sheet1!$C42,0)&amp;"-"&amp;OFFSET(Sheet2!M$1,Sheet1!$C42,0),OFFSET(Sheet2!F$1,Sheet1!$C42,0))</f>
        <v>84-89</v>
      </c>
      <c r="L48" s="71">
        <f ca="1">IF(OFFSET(Sheet2!F$1,Sheet1!$C34,0)="",(OFFSET(Sheet2!N$1,Sheet1!$C42,0)/OFFSET(Sheet2!N$1,Sheet1!$C36,0)-1)*100,(OFFSET(Sheet2!N$1,Sheet1!$C42,0)/K42-1)*100)</f>
        <v>-1.1428571428571455</v>
      </c>
    </row>
    <row r="49" spans="1:15" s="17" customFormat="1" ht="17.5">
      <c r="A49" s="16" t="s">
        <v>13</v>
      </c>
      <c r="B49" s="94"/>
      <c r="C49" s="33">
        <f ca="1">OFFSET(Sheet2!I$1,Sheet1!$C43,0)</f>
        <v>32439.017704885824</v>
      </c>
      <c r="D49" s="71">
        <f ca="1">IF(C49=0,"",(C49/C43-1)*100)</f>
        <v>1.3252124285645817</v>
      </c>
      <c r="E49" s="33">
        <f ca="1">OFFSET(Sheet2!J$1,Sheet1!$C43,0)</f>
        <v>208.62850245767046</v>
      </c>
      <c r="F49" s="71">
        <f ca="1">IF(E49=0,"",(E49/E43-1)*100)</f>
        <v>0.28957791914858699</v>
      </c>
      <c r="G49" s="33">
        <f ca="1">OFFSET(Sheet2!K$1,Sheet1!$C43,0)</f>
        <v>6767.7036849681881</v>
      </c>
      <c r="H49" s="71">
        <f ca="1">IF(G49=0,"",(G49/G43-1)*100)</f>
        <v>1.618627870288103</v>
      </c>
      <c r="I49" s="80">
        <f ca="1">OFFSET(Sheet2!E$1,Sheet1!$C43,0)</f>
        <v>12.205973962718717</v>
      </c>
      <c r="J49" s="71">
        <f ca="1">IF(I49=0,"",(I49/I43-1)*100)</f>
        <v>1.1702665385646682</v>
      </c>
      <c r="K49" s="66" t="str">
        <f ca="1">IF(OFFSET(Sheet2!F$1,Sheet1!$C43,0)="",OFFSET(Sheet2!L$1,Sheet1!$C43,0)&amp;"-"&amp;OFFSET(Sheet2!M$1,Sheet1!$C43,0),OFFSET(Sheet2!F$1,Sheet1!$C43,0))</f>
        <v>95-101</v>
      </c>
      <c r="L49" s="71">
        <f ca="1">IF(OFFSET(Sheet2!F$1,Sheet1!$C40,0)="",(OFFSET(Sheet2!N$1,Sheet1!$C43,0)/OFFSET(Sheet2!N$1,Sheet1!$C37,0)-1)*100,(OFFSET(Sheet2!N$1,Sheet1!$C43,0)/K43-1)*100)</f>
        <v>-1.0101010101010055</v>
      </c>
    </row>
    <row r="50" spans="1:15" s="17" customFormat="1" ht="17.5">
      <c r="A50" s="16" t="s">
        <v>14</v>
      </c>
      <c r="B50" s="94"/>
      <c r="C50" s="33">
        <f ca="1">OFFSET(Sheet2!I$1,Sheet1!$C44,0)</f>
        <v>35036.502862147267</v>
      </c>
      <c r="D50" s="71">
        <f ca="1">IF(C50=0,"",(C50/C44-1)*100)</f>
        <v>1.448772133659415</v>
      </c>
      <c r="E50" s="33">
        <f ca="1">OFFSET(Sheet2!J$1,Sheet1!$C44,0)</f>
        <v>215.53037083380426</v>
      </c>
      <c r="F50" s="71">
        <f ca="1">IF(E50=0,"",(E50/E44-1)*100)</f>
        <v>0.48952009511571415</v>
      </c>
      <c r="G50" s="33">
        <f ca="1">OFFSET(Sheet2!K$1,Sheet1!$C44,0)</f>
        <v>7551.4304545982441</v>
      </c>
      <c r="H50" s="71">
        <f ca="1">IF(G50=0,"",(G50/G44-1)*100)</f>
        <v>1.9453842595018145</v>
      </c>
      <c r="I50" s="80">
        <f ca="1">OFFSET(Sheet2!E$1,Sheet1!$C44,0)</f>
        <v>13.379960327595175</v>
      </c>
      <c r="J50" s="71">
        <f ca="1">IF(I50=0,"",(I50/I44-1)*100)</f>
        <v>1.624651889309181</v>
      </c>
      <c r="K50" s="66" t="str">
        <f ca="1">IF(OFFSET(Sheet2!F$1,Sheet1!$C44,0)="",OFFSET(Sheet2!L$1,Sheet1!$C44,0)&amp;"-"&amp;OFFSET(Sheet2!M$1,Sheet1!$C44,0),OFFSET(Sheet2!F$1,Sheet1!$C44,0))</f>
        <v>75-82</v>
      </c>
      <c r="L50" s="71">
        <f ca="1">IF(OFFSET(Sheet2!F$1,Sheet1!$C40,0)="",(OFFSET(Sheet2!N$1,Sheet1!$C44,0)/OFFSET(Sheet2!N$1,Sheet1!$C38,0)-1)*100,(OFFSET(Sheet2!N$1,Sheet1!$C44,0)/K44-1)*100)</f>
        <v>-1.2578616352201255</v>
      </c>
    </row>
    <row r="51" spans="1:15" s="17" customFormat="1" ht="17.5">
      <c r="A51" s="16" t="s">
        <v>0</v>
      </c>
      <c r="B51" s="94"/>
      <c r="C51" s="33">
        <f ca="1">SUM(C47:C50)</f>
        <v>131817.64495235667</v>
      </c>
      <c r="D51" s="71">
        <f ca="1">IF(C51=0,"",(C51/C45-1)*100)</f>
        <v>0.84370340558161949</v>
      </c>
      <c r="E51" s="33">
        <f ca="1">AVERAGE(E47:E50)</f>
        <v>214.19245393050267</v>
      </c>
      <c r="F51" s="71">
        <f ca="1">IF(E51=0,"",(E51/E45-1)*100)</f>
        <v>0.44781623454037689</v>
      </c>
      <c r="G51" s="33">
        <f ca="1">SUM(G47:G50)</f>
        <v>28238.213584280813</v>
      </c>
      <c r="H51" s="71">
        <f ca="1">IF(G51=0,"",(G51/G45-1)*100)</f>
        <v>1.2915858690915938</v>
      </c>
      <c r="I51" s="80">
        <f ca="1">SUM(I47:I50)</f>
        <v>50.225569939083286</v>
      </c>
      <c r="J51" s="71">
        <f ca="1">IF(I51=0,"",(I51/I45-1)*100)</f>
        <v>0.83243610705561188</v>
      </c>
      <c r="K51" s="66" t="str">
        <f ca="1">IF(OFFSET(Sheet2!F$1,Sheet1!$C40,0)="",OFFSET(Sheet2!O$1,Sheet1!$C44,0)&amp;"-"&amp;OFFSET(Sheet2!P$1,Sheet1!$C44,0),AVERAGE(K47:K50))</f>
        <v>80-89</v>
      </c>
      <c r="L51" s="71">
        <f ca="1">IF(OFFSET(Sheet2!F$1,Sheet1!$C34,0)="",(OFFSET(Sheet2!Q$1,Sheet1!$C44,0)/OFFSET(Sheet2!Q$1,Sheet1!$C38,0)-1)*100,(OFFSET(Sheet2!Q$1,Sheet1!$C44,0)/K45-1)*100)</f>
        <v>-1.1695906432748537</v>
      </c>
    </row>
    <row r="52" spans="1:15" ht="18" thickBot="1">
      <c r="A52" s="18"/>
      <c r="B52" s="18"/>
      <c r="C52" s="18"/>
      <c r="D52" s="18"/>
      <c r="E52" s="18"/>
      <c r="F52" s="23"/>
      <c r="G52" s="18"/>
      <c r="H52" s="18"/>
      <c r="I52" s="18"/>
      <c r="J52" s="18"/>
      <c r="K52" s="18"/>
      <c r="L52" s="18"/>
    </row>
    <row r="53" spans="1:15" ht="8.25" customHeight="1" thickTop="1">
      <c r="A53" s="11"/>
      <c r="C53" s="11"/>
      <c r="D53" s="11"/>
      <c r="E53" s="11"/>
      <c r="F53" s="15"/>
      <c r="G53" s="11"/>
      <c r="H53" s="11"/>
      <c r="I53" s="11"/>
      <c r="J53" s="11"/>
      <c r="K53" s="11"/>
      <c r="L53" s="11"/>
    </row>
    <row r="54" spans="1:15" ht="17.5">
      <c r="A54" s="25" t="s">
        <v>96</v>
      </c>
      <c r="C54" s="11"/>
      <c r="D54" s="25" t="s">
        <v>93</v>
      </c>
      <c r="G54" s="11"/>
      <c r="J54" s="11"/>
      <c r="K54" s="16"/>
      <c r="L54" s="11"/>
    </row>
    <row r="55" spans="1:15" ht="17.5">
      <c r="A55" s="25" t="s">
        <v>97</v>
      </c>
      <c r="C55" s="11"/>
      <c r="E55" s="11"/>
      <c r="G55" s="11"/>
      <c r="J55" s="11"/>
      <c r="K55" s="16"/>
      <c r="L55" s="11"/>
      <c r="O55" s="78"/>
    </row>
    <row r="56" spans="1:15" ht="15.5">
      <c r="A56" s="25" t="s">
        <v>98</v>
      </c>
      <c r="K56" s="79"/>
    </row>
  </sheetData>
  <phoneticPr fontId="0" type="noConversion"/>
  <printOptions horizontalCentered="1" verticalCentered="1"/>
  <pageMargins left="0.5" right="0.5" top="0.75" bottom="0.6" header="0.5" footer="0.5"/>
  <pageSetup scale="51" orientation="landscape" horizontalDpi="4294967295" verticalDpi="4294967295" r:id="rId1"/>
  <headerFooter alignWithMargins="0">
    <oddFooter>&amp;R&amp;14Livestock Marketing Information Center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Notes</vt:lpstr>
      <vt:lpstr>Sheet3</vt:lpstr>
      <vt:lpstr>Sheet1</vt:lpstr>
      <vt:lpstr>Sheet2</vt:lpstr>
      <vt:lpstr>tb7100</vt:lpstr>
      <vt:lpstr>Sheet3!Print_Area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LMIC</dc:creator>
  <cp:lastModifiedBy>Cozzens,Tyler</cp:lastModifiedBy>
  <cp:lastPrinted>2024-05-06T15:35:16Z</cp:lastPrinted>
  <dcterms:created xsi:type="dcterms:W3CDTF">2000-06-01T17:59:50Z</dcterms:created>
  <dcterms:modified xsi:type="dcterms:W3CDTF">2024-05-06T15:35:56Z</dcterms:modified>
</cp:coreProperties>
</file>